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335" yWindow="870" windowWidth="13290" windowHeight="14295" tabRatio="866"/>
  </bookViews>
  <sheets>
    <sheet name="Приложение №2" sheetId="15" r:id="rId1"/>
  </sheets>
  <externalReferences>
    <externalReference r:id="rId2"/>
    <externalReference r:id="rId3"/>
    <externalReference r:id="rId4"/>
  </externalReferences>
  <definedNames>
    <definedName name="_1Excel_BuiltIn_Print_Titles_4_1">#REF!</definedName>
    <definedName name="_1Excel_BuiltIn_Print_Titles_8_1">(#REF!,#REF!)</definedName>
    <definedName name="_2Excel_BuiltIn_Print_Titles_8_1">(#REF!,#REF!)</definedName>
    <definedName name="_4Excel_BuiltIn_Print_Titles_8_1">(#REF!,#REF!)</definedName>
    <definedName name="_xlnm._FilterDatabase" localSheetId="0" hidden="1">'Приложение №2'!$A$9:$J$190</definedName>
    <definedName name="AccessDatabase" hidden="1">"C:\db1.mdb"</definedName>
    <definedName name="akt_nom">#REF!</definedName>
    <definedName name="beg">#REF!</definedName>
    <definedName name="begin">#REF!</definedName>
    <definedName name="dgdg">(#REF!,#REF!)</definedName>
    <definedName name="Excel_BuiltIn_Print_Titles_1">#REF!</definedName>
    <definedName name="name_mo">#REF!</definedName>
    <definedName name="njknljl">#REF!</definedName>
    <definedName name="qwedqfd">(#REF!,#REF!)</definedName>
    <definedName name="reestr">#REF!</definedName>
    <definedName name="Ryb">[1]Сентябрь_свод!$A$1:$H$118</definedName>
    <definedName name="s">#REF!</definedName>
    <definedName name="tit">#REF!</definedName>
    <definedName name="А1">#REF!</definedName>
    <definedName name="апвап">[2]Сентябрь_свод!$A$1:$H$118</definedName>
    <definedName name="апраоаоаоа">#REF!</definedName>
    <definedName name="_xlnm.Database">#REF!</definedName>
    <definedName name="д">#REF!</definedName>
    <definedName name="зщ">[3]Сентябрь_свод!$A$1:$H$118</definedName>
    <definedName name="ипр">#REF!</definedName>
    <definedName name="лдл">#REF!</definedName>
    <definedName name="о">[3]Сентябрь_свод!$A$1:$H$118</definedName>
    <definedName name="_xlnm.Print_Area">#REF!</definedName>
    <definedName name="ор">#REF!</definedName>
    <definedName name="пеее">#REF!</definedName>
    <definedName name="пр">#REF!</definedName>
    <definedName name="при">#REF!</definedName>
    <definedName name="прил">#REF!</definedName>
    <definedName name="расчет1">#REF!</definedName>
    <definedName name="реестр">#REF!</definedName>
    <definedName name="решение">#REF!</definedName>
    <definedName name="ро">#REF!</definedName>
    <definedName name="що">#REF!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5" l="1"/>
  <c r="I30" i="15" l="1"/>
  <c r="J30" i="15"/>
  <c r="J28" i="15"/>
  <c r="J178" i="15"/>
  <c r="J129" i="15"/>
  <c r="I129" i="15"/>
  <c r="I28" i="15" l="1"/>
  <c r="J65" i="15" l="1"/>
  <c r="I65" i="15"/>
  <c r="J160" i="15" l="1"/>
  <c r="I160" i="15"/>
  <c r="J193" i="15"/>
  <c r="I193" i="15"/>
  <c r="I199" i="15" l="1"/>
  <c r="J175" i="15"/>
  <c r="I175" i="15"/>
  <c r="O215" i="15"/>
  <c r="O214" i="15"/>
  <c r="J170" i="15" l="1"/>
  <c r="I170" i="15"/>
  <c r="J80" i="15"/>
  <c r="J75" i="15" s="1"/>
  <c r="I80" i="15"/>
  <c r="I75" i="15" s="1"/>
  <c r="J60" i="15" l="1"/>
  <c r="I60" i="15"/>
  <c r="J59" i="15"/>
  <c r="I59" i="15"/>
  <c r="J36" i="15" l="1"/>
  <c r="I36" i="15"/>
  <c r="J229" i="15" l="1"/>
  <c r="J228" i="15"/>
  <c r="J220" i="15"/>
  <c r="J187" i="15"/>
  <c r="I187" i="15"/>
  <c r="N215" i="15" l="1"/>
  <c r="M215" i="15"/>
  <c r="L215" i="15"/>
  <c r="N214" i="15"/>
  <c r="M214" i="15"/>
  <c r="L214" i="15"/>
  <c r="K215" i="15" l="1"/>
  <c r="J215" i="15"/>
  <c r="I215" i="15"/>
  <c r="K214" i="15"/>
  <c r="J214" i="15"/>
  <c r="I214" i="15"/>
  <c r="I206" i="15"/>
  <c r="J202" i="15"/>
  <c r="I202" i="15"/>
  <c r="D202" i="15"/>
  <c r="J200" i="15"/>
  <c r="I200" i="15"/>
  <c r="D200" i="15"/>
  <c r="J198" i="15"/>
  <c r="I198" i="15"/>
  <c r="D198" i="15"/>
  <c r="J196" i="15"/>
  <c r="I196" i="15"/>
  <c r="D196" i="15"/>
  <c r="J194" i="15"/>
  <c r="I194" i="15"/>
  <c r="D194" i="15"/>
  <c r="J192" i="15"/>
  <c r="I192" i="15"/>
  <c r="D192" i="15"/>
  <c r="J190" i="15"/>
  <c r="I190" i="15"/>
  <c r="D190" i="15"/>
  <c r="D189" i="15"/>
  <c r="J188" i="15"/>
  <c r="I188" i="15"/>
  <c r="D188" i="15"/>
  <c r="J186" i="15"/>
  <c r="I186" i="15"/>
  <c r="D186" i="15"/>
  <c r="D187" i="15" s="1"/>
  <c r="B185" i="15"/>
  <c r="J184" i="15"/>
  <c r="I184" i="15"/>
  <c r="D184" i="15"/>
  <c r="D183" i="15"/>
  <c r="J182" i="15"/>
  <c r="I182" i="15"/>
  <c r="D182" i="15"/>
  <c r="D180" i="15"/>
  <c r="D181" i="15" s="1"/>
  <c r="B179" i="15"/>
  <c r="D175" i="15"/>
  <c r="D176" i="15" s="1"/>
  <c r="D177" i="15" s="1"/>
  <c r="B174" i="15"/>
  <c r="J173" i="15"/>
  <c r="I173" i="15"/>
  <c r="D173" i="15"/>
  <c r="C173" i="15" s="1"/>
  <c r="B172" i="15"/>
  <c r="J171" i="15"/>
  <c r="I171" i="15"/>
  <c r="D171" i="15"/>
  <c r="J169" i="15"/>
  <c r="I169" i="15"/>
  <c r="D169" i="15"/>
  <c r="D170" i="15" s="1"/>
  <c r="D168" i="15"/>
  <c r="B167" i="15"/>
  <c r="J165" i="15"/>
  <c r="I165" i="15"/>
  <c r="D165" i="15"/>
  <c r="D166" i="15" s="1"/>
  <c r="D164" i="15"/>
  <c r="B163" i="15"/>
  <c r="J162" i="15"/>
  <c r="I162" i="15"/>
  <c r="D162" i="15"/>
  <c r="B161" i="15"/>
  <c r="J158" i="15"/>
  <c r="I158" i="15"/>
  <c r="D158" i="15"/>
  <c r="D159" i="15" s="1"/>
  <c r="D160" i="15" s="1"/>
  <c r="D157" i="15"/>
  <c r="B156" i="15"/>
  <c r="J155" i="15"/>
  <c r="I155" i="15"/>
  <c r="D155" i="15"/>
  <c r="D152" i="15"/>
  <c r="D153" i="15" s="1"/>
  <c r="D154" i="15" s="1"/>
  <c r="B151" i="15"/>
  <c r="J150" i="15"/>
  <c r="I150" i="15"/>
  <c r="D150" i="15"/>
  <c r="J148" i="15"/>
  <c r="I148" i="15"/>
  <c r="D148" i="15"/>
  <c r="D149" i="15" s="1"/>
  <c r="B147" i="15"/>
  <c r="J145" i="15"/>
  <c r="I145" i="15"/>
  <c r="D145" i="15"/>
  <c r="D146" i="15" s="1"/>
  <c r="B144" i="15"/>
  <c r="D141" i="15"/>
  <c r="D142" i="15" s="1"/>
  <c r="D143" i="15" s="1"/>
  <c r="B140" i="15"/>
  <c r="D138" i="15"/>
  <c r="D139" i="15" s="1"/>
  <c r="B137" i="15"/>
  <c r="J136" i="15"/>
  <c r="I136" i="15"/>
  <c r="D136" i="15"/>
  <c r="J134" i="15"/>
  <c r="I134" i="15"/>
  <c r="D134" i="15"/>
  <c r="D135" i="15" s="1"/>
  <c r="J131" i="15"/>
  <c r="I131" i="15"/>
  <c r="D131" i="15"/>
  <c r="D132" i="15" s="1"/>
  <c r="D133" i="15" s="1"/>
  <c r="D129" i="15"/>
  <c r="D130" i="15" s="1"/>
  <c r="B128" i="15"/>
  <c r="J127" i="15"/>
  <c r="I127" i="15"/>
  <c r="D127" i="15"/>
  <c r="D126" i="15"/>
  <c r="D125" i="15"/>
  <c r="D124" i="15"/>
  <c r="J123" i="15"/>
  <c r="I123" i="15"/>
  <c r="D123" i="15"/>
  <c r="J121" i="15"/>
  <c r="I121" i="15"/>
  <c r="D121" i="15"/>
  <c r="D122" i="15" s="1"/>
  <c r="D119" i="15"/>
  <c r="D120" i="15" s="1"/>
  <c r="B118" i="15"/>
  <c r="J117" i="15"/>
  <c r="J115" i="15"/>
  <c r="D115" i="15"/>
  <c r="D116" i="15" s="1"/>
  <c r="D117" i="15" s="1"/>
  <c r="J114" i="15"/>
  <c r="B114" i="15"/>
  <c r="I111" i="15"/>
  <c r="D111" i="15"/>
  <c r="D113" i="15" s="1"/>
  <c r="J110" i="15"/>
  <c r="J108" i="15"/>
  <c r="D107" i="15"/>
  <c r="D108" i="15" s="1"/>
  <c r="D109" i="15" s="1"/>
  <c r="B106" i="15"/>
  <c r="I105" i="15"/>
  <c r="D105" i="15"/>
  <c r="J104" i="15"/>
  <c r="J102" i="15"/>
  <c r="I101" i="15"/>
  <c r="D101" i="15"/>
  <c r="D102" i="15" s="1"/>
  <c r="D103" i="15" s="1"/>
  <c r="B100" i="15"/>
  <c r="J98" i="15"/>
  <c r="I98" i="15"/>
  <c r="D98" i="15"/>
  <c r="D99" i="15" s="1"/>
  <c r="C99" i="15" s="1"/>
  <c r="B97" i="15"/>
  <c r="D96" i="15"/>
  <c r="B95" i="15"/>
  <c r="J93" i="15"/>
  <c r="I93" i="15"/>
  <c r="D93" i="15"/>
  <c r="D94" i="15" s="1"/>
  <c r="J91" i="15"/>
  <c r="D91" i="15"/>
  <c r="D92" i="15" s="1"/>
  <c r="B90" i="15"/>
  <c r="J88" i="15"/>
  <c r="J86" i="15"/>
  <c r="I81" i="15"/>
  <c r="D81" i="15"/>
  <c r="D82" i="15" s="1"/>
  <c r="D83" i="15" s="1"/>
  <c r="D84" i="15" s="1"/>
  <c r="D85" i="15" s="1"/>
  <c r="B80" i="15"/>
  <c r="D75" i="15"/>
  <c r="D76" i="15" s="1"/>
  <c r="D77" i="15" s="1"/>
  <c r="D78" i="15" s="1"/>
  <c r="B74" i="15"/>
  <c r="J72" i="15"/>
  <c r="I72" i="15"/>
  <c r="D72" i="15"/>
  <c r="D73" i="15" s="1"/>
  <c r="B71" i="15"/>
  <c r="J69" i="15"/>
  <c r="I69" i="15"/>
  <c r="D69" i="15"/>
  <c r="D70" i="15" s="1"/>
  <c r="B68" i="15"/>
  <c r="J67" i="15"/>
  <c r="I67" i="15"/>
  <c r="D67" i="15"/>
  <c r="B66" i="15"/>
  <c r="J64" i="15"/>
  <c r="I64" i="15"/>
  <c r="D64" i="15"/>
  <c r="D65" i="15" s="1"/>
  <c r="J63" i="15"/>
  <c r="B63" i="15"/>
  <c r="J62" i="15"/>
  <c r="I61" i="15"/>
  <c r="D61" i="15"/>
  <c r="D62" i="15" s="1"/>
  <c r="B60" i="15"/>
  <c r="I58" i="15"/>
  <c r="D58" i="15"/>
  <c r="D59" i="15" s="1"/>
  <c r="B57" i="15"/>
  <c r="J56" i="15"/>
  <c r="I56" i="15"/>
  <c r="D56" i="15"/>
  <c r="D55" i="15"/>
  <c r="B54" i="15"/>
  <c r="J53" i="15"/>
  <c r="I53" i="15"/>
  <c r="D53" i="15"/>
  <c r="B52" i="15"/>
  <c r="D50" i="15"/>
  <c r="D51" i="15" s="1"/>
  <c r="J47" i="15"/>
  <c r="I47" i="15"/>
  <c r="D47" i="15"/>
  <c r="D48" i="15" s="1"/>
  <c r="D49" i="15" s="1"/>
  <c r="D44" i="15"/>
  <c r="D45" i="15" s="1"/>
  <c r="D46" i="15" s="1"/>
  <c r="J43" i="15"/>
  <c r="B43" i="15"/>
  <c r="J42" i="15"/>
  <c r="I40" i="15"/>
  <c r="D40" i="15"/>
  <c r="D41" i="15" s="1"/>
  <c r="D42" i="15" s="1"/>
  <c r="D36" i="15"/>
  <c r="D38" i="15" s="1"/>
  <c r="D39" i="15" s="1"/>
  <c r="B35" i="15"/>
  <c r="D34" i="15"/>
  <c r="J33" i="15"/>
  <c r="I31" i="15"/>
  <c r="D31" i="15"/>
  <c r="D32" i="15" s="1"/>
  <c r="D33" i="15" s="1"/>
  <c r="B30" i="15"/>
  <c r="J29" i="15"/>
  <c r="I29" i="15"/>
  <c r="D29" i="15"/>
  <c r="B28" i="15"/>
  <c r="J27" i="15"/>
  <c r="I27" i="15"/>
  <c r="D27" i="15"/>
  <c r="B26" i="15"/>
  <c r="J24" i="15"/>
  <c r="I24" i="15"/>
  <c r="D24" i="15"/>
  <c r="D25" i="15" s="1"/>
  <c r="B23" i="15"/>
  <c r="J22" i="15"/>
  <c r="I22" i="15"/>
  <c r="D22" i="15"/>
  <c r="B21" i="15"/>
  <c r="J16" i="15"/>
  <c r="I16" i="15"/>
  <c r="D16" i="15"/>
  <c r="D17" i="15" s="1"/>
  <c r="D18" i="15" s="1"/>
  <c r="D19" i="15" s="1"/>
  <c r="D20" i="15" s="1"/>
  <c r="J15" i="15"/>
  <c r="D15" i="15"/>
  <c r="J13" i="15"/>
  <c r="J12" i="15" s="1"/>
  <c r="D13" i="15"/>
  <c r="D12" i="15"/>
  <c r="J10" i="15"/>
  <c r="I10" i="15"/>
  <c r="D10" i="15"/>
  <c r="D11" i="15" s="1"/>
  <c r="J58" i="15" l="1"/>
  <c r="J61" i="15"/>
  <c r="J31" i="15"/>
  <c r="J111" i="15"/>
  <c r="J101" i="15"/>
  <c r="I204" i="15"/>
  <c r="J81" i="15"/>
  <c r="D86" i="15"/>
  <c r="D87" i="15" s="1"/>
  <c r="D88" i="15" s="1"/>
  <c r="D89" i="15" s="1"/>
  <c r="C85" i="15"/>
  <c r="D110" i="15"/>
  <c r="C109" i="15"/>
  <c r="C103" i="15"/>
  <c r="D104" i="15"/>
  <c r="J40" i="15"/>
  <c r="J105" i="15"/>
  <c r="C98" i="15"/>
  <c r="I205" i="15" l="1"/>
  <c r="J204" i="15"/>
</calcChain>
</file>

<file path=xl/sharedStrings.xml><?xml version="1.0" encoding="utf-8"?>
<sst xmlns="http://schemas.openxmlformats.org/spreadsheetml/2006/main" count="267" uniqueCount="152">
  <si>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</si>
  <si>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</si>
  <si>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</si>
  <si>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</si>
  <si>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</si>
  <si>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</si>
  <si>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</si>
  <si>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</si>
  <si>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</si>
  <si>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</si>
  <si>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урология</t>
  </si>
  <si>
    <t>кардиология</t>
  </si>
  <si>
    <t>онкология</t>
  </si>
  <si>
    <t>аллергология и иммунология</t>
  </si>
  <si>
    <t>ОГАУЗ "Стрежевская ГБ"</t>
  </si>
  <si>
    <t>офтальмология</t>
  </si>
  <si>
    <t>ОГАУЗ "ТООД"</t>
  </si>
  <si>
    <t>дерматовенерология</t>
  </si>
  <si>
    <t>челюстно-лицевая хирургия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</si>
  <si>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</si>
  <si>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</si>
  <si>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</si>
  <si>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</si>
  <si>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ООО "ЛДЦ МИБС"</t>
  </si>
  <si>
    <t>ООО "Люмена"</t>
  </si>
  <si>
    <t>НИИ Кардиологии филиал Томского НИМЦ</t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</si>
  <si>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</si>
  <si>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</si>
  <si>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</si>
  <si>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</si>
  <si>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</si>
  <si>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</si>
  <si>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</si>
  <si>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</si>
  <si>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</si>
  <si>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</si>
  <si>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</si>
  <si>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</si>
  <si>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</si>
  <si>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</si>
  <si>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</si>
  <si>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</si>
  <si>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</si>
  <si>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</si>
  <si>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</si>
  <si>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</si>
  <si>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</si>
  <si>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</si>
  <si>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</si>
  <si>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</si>
  <si>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</si>
  <si>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</si>
  <si>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</si>
  <si>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</si>
  <si>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</si>
  <si>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</si>
  <si>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</si>
  <si>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</si>
  <si>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</si>
  <si>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</si>
  <si>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</si>
  <si>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</si>
  <si>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</si>
  <si>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</si>
  <si>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 xml:space="preserve">ОГБУЗ "Асиновская РБ" 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</si>
  <si>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</si>
  <si>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</si>
  <si>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</si>
  <si>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</si>
  <si>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</si>
  <si>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</si>
  <si>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</si>
  <si>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</si>
  <si>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</si>
  <si>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</si>
  <si>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</si>
  <si>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</si>
  <si>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</si>
  <si>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</si>
  <si>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</si>
  <si>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</si>
  <si>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</si>
  <si>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</si>
  <si>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</si>
  <si>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</si>
  <si>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</si>
  <si>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</si>
  <si>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</si>
  <si>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</si>
  <si>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</si>
  <si>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</si>
  <si>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</si>
  <si>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</si>
  <si>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</si>
  <si>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"Медико-санитарная часть № 2"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</si>
  <si>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</si>
  <si>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</si>
  <si>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</si>
  <si>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</si>
  <si>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</si>
  <si>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</si>
  <si>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</si>
  <si>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</si>
  <si>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</si>
  <si>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</si>
  <si>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</si>
  <si>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</si>
  <si>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</si>
  <si>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</si>
  <si>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</si>
  <si>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медицинская реабилитация</t>
  </si>
  <si>
    <t>нефрология</t>
  </si>
  <si>
    <t>ревматология</t>
  </si>
  <si>
    <t>ФГБУ ФНКЦ МРИК ФМБА РОССИИ</t>
  </si>
  <si>
    <t>Приложение № 2</t>
  </si>
  <si>
    <t>Объемы противоопухолевой лекарственной терапии злокачественных новообразований на 2025 год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</si>
  <si>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</si>
  <si>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</si>
  <si>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</si>
  <si>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</si>
  <si>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</si>
  <si>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</si>
  <si>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</si>
  <si>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</si>
  <si>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</si>
  <si>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</si>
  <si>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</si>
  <si>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</si>
  <si>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</si>
  <si>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</si>
  <si>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</si>
  <si>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</si>
  <si>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</si>
  <si>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</si>
  <si>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</si>
  <si>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</si>
  <si>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</si>
  <si>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</si>
  <si>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</si>
  <si>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</si>
  <si>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</si>
  <si>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</si>
  <si>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</si>
  <si>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</si>
  <si>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</si>
  <si>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</si>
  <si>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</si>
  <si>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</si>
  <si>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Объемы</t>
  </si>
  <si>
    <t>оториноларингология (за исключением кохлеарной имплантации) (взрослые)</t>
  </si>
  <si>
    <t xml:space="preserve">          к  Решению № 10</t>
  </si>
  <si>
    <t>от 25.08.2025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</si>
</sst>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80" formatCode="#,##0_ ;[Red]\-#,##0\ "/>
  </numFmts>
  <fonts count="1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</borders>
  <cellStyleXfs count="33179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8" fillId="0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5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4" fillId="35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0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6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4" fillId="37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6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4" fillId="39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6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4" fillId="41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6" fillId="24" borderId="0" applyNumberFormat="0" applyBorder="0" applyAlignment="0" applyProtection="0"/>
    <xf numFmtId="0" fontId="46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0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46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4" fillId="43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6" fillId="28" borderId="0" applyNumberFormat="0" applyBorder="0" applyAlignment="0" applyProtection="0"/>
    <xf numFmtId="0" fontId="46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0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46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4" fillId="44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47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6" fillId="32" borderId="0" applyNumberFormat="0" applyBorder="0" applyAlignment="0" applyProtection="0"/>
    <xf numFmtId="0" fontId="46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46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4" fillId="45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47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0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46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4" fillId="46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47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6" fillId="17" borderId="0" applyNumberFormat="0" applyBorder="0" applyAlignment="0" applyProtection="0"/>
    <xf numFmtId="0" fontId="46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0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46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4" fillId="47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47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46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4" fillId="41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47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0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46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4" fillId="45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47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0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46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4" fillId="49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47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8" fillId="0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8" fillId="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8" fillId="50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9" fillId="14" borderId="0" applyNumberFormat="0" applyBorder="0" applyAlignment="0" applyProtection="0"/>
    <xf numFmtId="0" fontId="48" fillId="50" borderId="0" applyNumberFormat="0" applyBorder="0" applyAlignment="0" applyProtection="0"/>
    <xf numFmtId="0" fontId="49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9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8" fillId="50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7" fillId="0" borderId="0" applyNumberFormat="0" applyBorder="0" applyAlignment="0" applyProtection="0"/>
    <xf numFmtId="0" fontId="43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3" fillId="14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50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8" fillId="0" borderId="0" applyNumberFormat="0" applyBorder="0" applyAlignment="0" applyProtection="0"/>
    <xf numFmtId="0" fontId="48" fillId="46" borderId="0" applyNumberFormat="0" applyBorder="0" applyAlignment="0" applyProtection="0"/>
    <xf numFmtId="0" fontId="48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8" fillId="0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8" fillId="46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18" borderId="0" applyNumberFormat="0" applyBorder="0" applyAlignment="0" applyProtection="0"/>
    <xf numFmtId="0" fontId="48" fillId="46" borderId="0" applyNumberFormat="0" applyBorder="0" applyAlignment="0" applyProtection="0"/>
    <xf numFmtId="0" fontId="49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9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8" fillId="46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7" fillId="0" borderId="0" applyNumberFormat="0" applyBorder="0" applyAlignment="0" applyProtection="0"/>
    <xf numFmtId="0" fontId="43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3" fillId="18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8" fillId="0" borderId="0" applyNumberFormat="0" applyBorder="0" applyAlignment="0" applyProtection="0"/>
    <xf numFmtId="0" fontId="48" fillId="47" borderId="0" applyNumberFormat="0" applyBorder="0" applyAlignment="0" applyProtection="0"/>
    <xf numFmtId="0" fontId="48" fillId="48" borderId="0" applyNumberFormat="0" applyBorder="0" applyAlignment="0" applyProtection="0"/>
    <xf numFmtId="0" fontId="8" fillId="0" borderId="0" applyNumberFormat="0" applyBorder="0" applyAlignment="0" applyProtection="0"/>
    <xf numFmtId="0" fontId="48" fillId="48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8" fillId="0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8" fillId="47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9" fillId="22" borderId="0" applyNumberFormat="0" applyBorder="0" applyAlignment="0" applyProtection="0"/>
    <xf numFmtId="0" fontId="48" fillId="47" borderId="0" applyNumberFormat="0" applyBorder="0" applyAlignment="0" applyProtection="0"/>
    <xf numFmtId="0" fontId="49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9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8" fillId="47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7" fillId="0" borderId="0" applyNumberFormat="0" applyBorder="0" applyAlignment="0" applyProtection="0"/>
    <xf numFmtId="0" fontId="43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22" borderId="0" applyNumberFormat="0" applyBorder="0" applyAlignment="0" applyProtection="0"/>
    <xf numFmtId="0" fontId="50" fillId="22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3" fillId="22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48" fillId="54" borderId="0" applyNumberFormat="0" applyBorder="0" applyAlignment="0" applyProtection="0"/>
    <xf numFmtId="0" fontId="8" fillId="0" borderId="0" applyNumberFormat="0" applyBorder="0" applyAlignment="0" applyProtection="0"/>
    <xf numFmtId="0" fontId="48" fillId="54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8" fillId="53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9" fillId="26" borderId="0" applyNumberFormat="0" applyBorder="0" applyAlignment="0" applyProtection="0"/>
    <xf numFmtId="0" fontId="48" fillId="53" borderId="0" applyNumberFormat="0" applyBorder="0" applyAlignment="0" applyProtection="0"/>
    <xf numFmtId="0" fontId="49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9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8" fillId="53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7" fillId="0" borderId="0" applyNumberFormat="0" applyBorder="0" applyAlignment="0" applyProtection="0"/>
    <xf numFmtId="0" fontId="43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26" borderId="0" applyNumberFormat="0" applyBorder="0" applyAlignment="0" applyProtection="0"/>
    <xf numFmtId="0" fontId="50" fillId="26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3" fillId="26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8" fillId="55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8" fillId="55" borderId="0" applyNumberFormat="0" applyBorder="0" applyAlignment="0" applyProtection="0"/>
    <xf numFmtId="0" fontId="49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9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8" fillId="55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7" fillId="0" borderId="0" applyNumberFormat="0" applyBorder="0" applyAlignment="0" applyProtection="0"/>
    <xf numFmtId="0" fontId="43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30" borderId="0" applyNumberFormat="0" applyBorder="0" applyAlignment="0" applyProtection="0"/>
    <xf numFmtId="0" fontId="50" fillId="30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3" fillId="3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8" fillId="0" borderId="0" applyNumberFormat="0" applyBorder="0" applyAlignment="0" applyProtection="0"/>
    <xf numFmtId="0" fontId="48" fillId="57" borderId="0" applyNumberFormat="0" applyBorder="0" applyAlignment="0" applyProtection="0"/>
    <xf numFmtId="0" fontId="48" fillId="58" borderId="0" applyNumberFormat="0" applyBorder="0" applyAlignment="0" applyProtection="0"/>
    <xf numFmtId="0" fontId="8" fillId="0" borderId="0" applyNumberFormat="0" applyBorder="0" applyAlignment="0" applyProtection="0"/>
    <xf numFmtId="0" fontId="48" fillId="58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8" fillId="0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8" fillId="57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8" fillId="57" borderId="0" applyNumberFormat="0" applyBorder="0" applyAlignment="0" applyProtection="0"/>
    <xf numFmtId="0" fontId="49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9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8" fillId="5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7" fillId="0" borderId="0" applyNumberFormat="0" applyBorder="0" applyAlignment="0" applyProtection="0"/>
    <xf numFmtId="0" fontId="43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3" fillId="34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172" fontId="52" fillId="0" borderId="0"/>
    <xf numFmtId="172" fontId="52" fillId="0" borderId="0"/>
    <xf numFmtId="0" fontId="44" fillId="0" borderId="0"/>
    <xf numFmtId="0" fontId="53" fillId="0" borderId="0">
      <alignment horizontal="center"/>
    </xf>
    <xf numFmtId="0" fontId="53" fillId="0" borderId="0">
      <alignment horizontal="center" textRotation="90"/>
    </xf>
    <xf numFmtId="0" fontId="44" fillId="0" borderId="0"/>
    <xf numFmtId="0" fontId="54" fillId="0" borderId="0"/>
    <xf numFmtId="173" fontId="54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48" fillId="59" borderId="0" applyNumberFormat="0" applyBorder="0" applyAlignment="0" applyProtection="0"/>
    <xf numFmtId="0" fontId="48" fillId="59" borderId="0" applyNumberFormat="0" applyBorder="0" applyAlignment="0" applyProtection="0"/>
    <xf numFmtId="0" fontId="48" fillId="59" borderId="0" applyNumberFormat="0" applyBorder="0" applyAlignment="0" applyProtection="0"/>
    <xf numFmtId="0" fontId="8" fillId="0" borderId="0" applyNumberFormat="0" applyBorder="0" applyAlignment="0" applyProtection="0"/>
    <xf numFmtId="0" fontId="48" fillId="59" borderId="0" applyNumberFormat="0" applyBorder="0" applyAlignment="0" applyProtection="0"/>
    <xf numFmtId="0" fontId="48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9" borderId="0" applyNumberFormat="0" applyBorder="0" applyAlignment="0" applyProtection="0"/>
    <xf numFmtId="0" fontId="48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11" borderId="0" applyNumberFormat="0" applyBorder="0" applyAlignment="0" applyProtection="0"/>
    <xf numFmtId="0" fontId="50" fillId="11" borderId="0" applyNumberFormat="0" applyBorder="0" applyAlignment="0" applyProtection="0"/>
    <xf numFmtId="0" fontId="49" fillId="11" borderId="0" applyNumberFormat="0" applyBorder="0" applyAlignment="0" applyProtection="0"/>
    <xf numFmtId="0" fontId="50" fillId="1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8" fillId="0" borderId="0" applyNumberFormat="0" applyBorder="0" applyAlignment="0" applyProtection="0"/>
    <xf numFmtId="0" fontId="48" fillId="61" borderId="0" applyNumberFormat="0" applyBorder="0" applyAlignment="0" applyProtection="0"/>
    <xf numFmtId="0" fontId="48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1" borderId="0" applyNumberFormat="0" applyBorder="0" applyAlignment="0" applyProtection="0"/>
    <xf numFmtId="0" fontId="48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15" borderId="0" applyNumberFormat="0" applyBorder="0" applyAlignment="0" applyProtection="0"/>
    <xf numFmtId="0" fontId="50" fillId="15" borderId="0" applyNumberFormat="0" applyBorder="0" applyAlignment="0" applyProtection="0"/>
    <xf numFmtId="0" fontId="49" fillId="15" borderId="0" applyNumberFormat="0" applyBorder="0" applyAlignment="0" applyProtection="0"/>
    <xf numFmtId="0" fontId="50" fillId="15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8" fillId="0" borderId="0" applyNumberFormat="0" applyBorder="0" applyAlignment="0" applyProtection="0"/>
    <xf numFmtId="0" fontId="48" fillId="63" borderId="0" applyNumberFormat="0" applyBorder="0" applyAlignment="0" applyProtection="0"/>
    <xf numFmtId="0" fontId="48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3" borderId="0" applyNumberFormat="0" applyBorder="0" applyAlignment="0" applyProtection="0"/>
    <xf numFmtId="0" fontId="48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19" borderId="0" applyNumberFormat="0" applyBorder="0" applyAlignment="0" applyProtection="0"/>
    <xf numFmtId="0" fontId="50" fillId="19" borderId="0" applyNumberFormat="0" applyBorder="0" applyAlignment="0" applyProtection="0"/>
    <xf numFmtId="0" fontId="49" fillId="19" borderId="0" applyNumberFormat="0" applyBorder="0" applyAlignment="0" applyProtection="0"/>
    <xf numFmtId="0" fontId="50" fillId="19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48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23" borderId="0" applyNumberFormat="0" applyBorder="0" applyAlignment="0" applyProtection="0"/>
    <xf numFmtId="0" fontId="50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3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27" borderId="0" applyNumberFormat="0" applyBorder="0" applyAlignment="0" applyProtection="0"/>
    <xf numFmtId="0" fontId="50" fillId="27" borderId="0" applyNumberFormat="0" applyBorder="0" applyAlignment="0" applyProtection="0"/>
    <xf numFmtId="0" fontId="49" fillId="27" borderId="0" applyNumberFormat="0" applyBorder="0" applyAlignment="0" applyProtection="0"/>
    <xf numFmtId="0" fontId="50" fillId="27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0" fontId="8" fillId="0" borderId="0" applyNumberFormat="0" applyBorder="0" applyAlignment="0" applyProtection="0"/>
    <xf numFmtId="0" fontId="48" fillId="65" borderId="0" applyNumberFormat="0" applyBorder="0" applyAlignment="0" applyProtection="0"/>
    <xf numFmtId="0" fontId="48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5" borderId="0" applyNumberFormat="0" applyBorder="0" applyAlignment="0" applyProtection="0"/>
    <xf numFmtId="0" fontId="48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8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3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1" borderId="0" applyNumberFormat="0" applyBorder="0" applyAlignment="0" applyProtection="0"/>
    <xf numFmtId="0" fontId="50" fillId="31" borderId="0" applyNumberFormat="0" applyBorder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8" fillId="0" borderId="0" applyNumberFormat="0" applyAlignment="0" applyProtection="0"/>
    <xf numFmtId="0" fontId="55" fillId="44" borderId="19" applyNumberFormat="0" applyAlignment="0" applyProtection="0"/>
    <xf numFmtId="0" fontId="55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5" fillId="44" borderId="19" applyNumberFormat="0" applyAlignment="0" applyProtection="0"/>
    <xf numFmtId="0" fontId="55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5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6" fillId="7" borderId="13" applyNumberFormat="0" applyAlignment="0" applyProtection="0"/>
    <xf numFmtId="0" fontId="57" fillId="7" borderId="13" applyNumberFormat="0" applyAlignment="0" applyProtection="0"/>
    <xf numFmtId="0" fontId="56" fillId="7" borderId="13" applyNumberFormat="0" applyAlignment="0" applyProtection="0"/>
    <xf numFmtId="0" fontId="57" fillId="7" borderId="13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8" fillId="0" borderId="0" applyNumberFormat="0" applyAlignment="0" applyProtection="0"/>
    <xf numFmtId="0" fontId="58" fillId="68" borderId="20" applyNumberFormat="0" applyAlignment="0" applyProtection="0"/>
    <xf numFmtId="0" fontId="58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68" borderId="20" applyNumberFormat="0" applyAlignment="0" applyProtection="0"/>
    <xf numFmtId="0" fontId="58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6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9" fillId="8" borderId="14" applyNumberFormat="0" applyAlignment="0" applyProtection="0"/>
    <xf numFmtId="0" fontId="60" fillId="8" borderId="14" applyNumberFormat="0" applyAlignment="0" applyProtection="0"/>
    <xf numFmtId="0" fontId="59" fillId="8" borderId="14" applyNumberFormat="0" applyAlignment="0" applyProtection="0"/>
    <xf numFmtId="0" fontId="60" fillId="8" borderId="14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8" fillId="0" borderId="0" applyNumberFormat="0" applyAlignment="0" applyProtection="0"/>
    <xf numFmtId="0" fontId="61" fillId="68" borderId="19" applyNumberFormat="0" applyAlignment="0" applyProtection="0"/>
    <xf numFmtId="0" fontId="61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68" borderId="19" applyNumberFormat="0" applyAlignment="0" applyProtection="0"/>
    <xf numFmtId="0" fontId="61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2" fillId="8" borderId="13" applyNumberFormat="0" applyAlignment="0" applyProtection="0"/>
    <xf numFmtId="0" fontId="63" fillId="8" borderId="13" applyNumberFormat="0" applyAlignment="0" applyProtection="0"/>
    <xf numFmtId="0" fontId="62" fillId="8" borderId="13" applyNumberFormat="0" applyAlignment="0" applyProtection="0"/>
    <xf numFmtId="0" fontId="63" fillId="8" borderId="13" applyNumberFormat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166" fontId="6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7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29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8" fillId="0" borderId="10" applyNumberFormat="0" applyFill="0" applyAlignment="0" applyProtection="0"/>
    <xf numFmtId="0" fontId="69" fillId="0" borderId="10" applyNumberFormat="0" applyFill="0" applyAlignment="0" applyProtection="0"/>
    <xf numFmtId="0" fontId="68" fillId="0" borderId="10" applyNumberFormat="0" applyFill="0" applyAlignment="0" applyProtection="0"/>
    <xf numFmtId="0" fontId="69" fillId="0" borderId="10" applyNumberFormat="0" applyFill="0" applyAlignment="0" applyProtection="0"/>
    <xf numFmtId="0" fontId="70" fillId="0" borderId="22" applyNumberFormat="0" applyFill="0" applyAlignment="0" applyProtection="0"/>
    <xf numFmtId="0" fontId="70" fillId="0" borderId="22" applyNumberFormat="0" applyFill="0" applyAlignment="0" applyProtection="0"/>
    <xf numFmtId="0" fontId="70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22" applyNumberFormat="0" applyFill="0" applyAlignment="0" applyProtection="0"/>
    <xf numFmtId="0" fontId="70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0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1" fillId="0" borderId="11" applyNumberFormat="0" applyFill="0" applyAlignment="0" applyProtection="0"/>
    <xf numFmtId="0" fontId="72" fillId="0" borderId="11" applyNumberFormat="0" applyFill="0" applyAlignment="0" applyProtection="0"/>
    <xf numFmtId="0" fontId="71" fillId="0" borderId="11" applyNumberFormat="0" applyFill="0" applyAlignment="0" applyProtection="0"/>
    <xf numFmtId="0" fontId="72" fillId="0" borderId="11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23" applyNumberFormat="0" applyFill="0" applyAlignment="0" applyProtection="0"/>
    <xf numFmtId="0" fontId="73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4" fillId="0" borderId="12" applyNumberFormat="0" applyFill="0" applyAlignment="0" applyProtection="0"/>
    <xf numFmtId="0" fontId="75" fillId="0" borderId="12" applyNumberFormat="0" applyFill="0" applyAlignment="0" applyProtection="0"/>
    <xf numFmtId="0" fontId="74" fillId="0" borderId="12" applyNumberFormat="0" applyFill="0" applyAlignment="0" applyProtection="0"/>
    <xf numFmtId="0" fontId="75" fillId="0" borderId="12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24" applyNumberFormat="0" applyFill="0" applyAlignment="0" applyProtection="0"/>
    <xf numFmtId="0" fontId="76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2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7" fillId="0" borderId="18" applyNumberFormat="0" applyFill="0" applyAlignment="0" applyProtection="0"/>
    <xf numFmtId="0" fontId="78" fillId="0" borderId="18" applyNumberFormat="0" applyFill="0" applyAlignment="0" applyProtection="0"/>
    <xf numFmtId="0" fontId="77" fillId="0" borderId="18" applyNumberFormat="0" applyFill="0" applyAlignment="0" applyProtection="0"/>
    <xf numFmtId="0" fontId="78" fillId="0" borderId="18" applyNumberFormat="0" applyFill="0" applyAlignment="0" applyProtection="0"/>
    <xf numFmtId="0" fontId="79" fillId="70" borderId="25" applyNumberFormat="0" applyAlignment="0" applyProtection="0"/>
    <xf numFmtId="0" fontId="79" fillId="70" borderId="25" applyNumberFormat="0" applyAlignment="0" applyProtection="0"/>
    <xf numFmtId="0" fontId="79" fillId="70" borderId="25" applyNumberFormat="0" applyAlignment="0" applyProtection="0"/>
    <xf numFmtId="0" fontId="8" fillId="0" borderId="0" applyNumberFormat="0" applyAlignment="0" applyProtection="0"/>
    <xf numFmtId="0" fontId="79" fillId="70" borderId="25" applyNumberFormat="0" applyAlignment="0" applyProtection="0"/>
    <xf numFmtId="0" fontId="79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79" fillId="70" borderId="25" applyNumberFormat="0" applyAlignment="0" applyProtection="0"/>
    <xf numFmtId="0" fontId="79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79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0" fillId="9" borderId="16" applyNumberFormat="0" applyAlignment="0" applyProtection="0"/>
    <xf numFmtId="0" fontId="81" fillId="9" borderId="16" applyNumberFormat="0" applyAlignment="0" applyProtection="0"/>
    <xf numFmtId="0" fontId="80" fillId="9" borderId="16" applyNumberFormat="0" applyAlignment="0" applyProtection="0"/>
    <xf numFmtId="0" fontId="81" fillId="9" borderId="16" applyNumberFormat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3" fillId="72" borderId="0" applyNumberFormat="0" applyBorder="0" applyAlignment="0" applyProtection="0"/>
    <xf numFmtId="0" fontId="83" fillId="72" borderId="0" applyNumberFormat="0" applyBorder="0" applyAlignment="0" applyProtection="0"/>
    <xf numFmtId="0" fontId="83" fillId="72" borderId="0" applyNumberFormat="0" applyBorder="0" applyAlignment="0" applyProtection="0"/>
    <xf numFmtId="0" fontId="8" fillId="0" borderId="0" applyNumberFormat="0" applyBorder="0" applyAlignment="0" applyProtection="0"/>
    <xf numFmtId="0" fontId="83" fillId="72" borderId="0" applyNumberFormat="0" applyBorder="0" applyAlignment="0" applyProtection="0"/>
    <xf numFmtId="0" fontId="83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3" fillId="72" borderId="0" applyNumberFormat="0" applyBorder="0" applyAlignment="0" applyProtection="0"/>
    <xf numFmtId="0" fontId="83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3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4" fillId="6" borderId="0" applyNumberFormat="0" applyBorder="0" applyAlignment="0" applyProtection="0"/>
    <xf numFmtId="0" fontId="85" fillId="6" borderId="0" applyNumberFormat="0" applyBorder="0" applyAlignment="0" applyProtection="0"/>
    <xf numFmtId="0" fontId="84" fillId="6" borderId="0" applyNumberFormat="0" applyBorder="0" applyAlignment="0" applyProtection="0"/>
    <xf numFmtId="0" fontId="85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6" fillId="0" borderId="0"/>
    <xf numFmtId="0" fontId="6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4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44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6" fillId="0" borderId="0">
      <alignment vertical="top"/>
    </xf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6" fillId="0" borderId="0">
      <alignment vertical="top"/>
    </xf>
    <xf numFmtId="0" fontId="86" fillId="0" borderId="0"/>
    <xf numFmtId="0" fontId="23" fillId="0" borderId="0">
      <alignment vertical="top"/>
    </xf>
    <xf numFmtId="0" fontId="86" fillId="0" borderId="0"/>
    <xf numFmtId="0" fontId="86" fillId="0" borderId="0"/>
    <xf numFmtId="0" fontId="86" fillId="0" borderId="0"/>
    <xf numFmtId="0" fontId="23" fillId="0" borderId="0"/>
    <xf numFmtId="0" fontId="86" fillId="0" borderId="0"/>
    <xf numFmtId="0" fontId="12" fillId="0" borderId="0">
      <alignment vertical="top"/>
    </xf>
    <xf numFmtId="0" fontId="12" fillId="0" borderId="0">
      <alignment vertical="top"/>
    </xf>
    <xf numFmtId="0" fontId="86" fillId="0" borderId="0"/>
    <xf numFmtId="0" fontId="44" fillId="0" borderId="0"/>
    <xf numFmtId="0" fontId="86" fillId="0" borderId="0"/>
    <xf numFmtId="0" fontId="44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6" fillId="0" borderId="0"/>
    <xf numFmtId="0" fontId="23" fillId="0" borderId="0"/>
    <xf numFmtId="0" fontId="86" fillId="0" borderId="0"/>
    <xf numFmtId="0" fontId="86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0" fillId="0" borderId="0"/>
    <xf numFmtId="0" fontId="8" fillId="0" borderId="0"/>
    <xf numFmtId="0" fontId="12" fillId="0" borderId="0"/>
    <xf numFmtId="0" fontId="12" fillId="0" borderId="0"/>
    <xf numFmtId="0" fontId="86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6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12" fillId="0" borderId="0"/>
    <xf numFmtId="0" fontId="91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47" fillId="0" borderId="0"/>
    <xf numFmtId="0" fontId="8" fillId="0" borderId="0"/>
    <xf numFmtId="0" fontId="86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6" fillId="0" borderId="0"/>
    <xf numFmtId="0" fontId="86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6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7" fillId="0" borderId="0"/>
    <xf numFmtId="0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/>
    <xf numFmtId="0" fontId="8" fillId="0" borderId="0"/>
    <xf numFmtId="0" fontId="8" fillId="0" borderId="0"/>
    <xf numFmtId="0" fontId="8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6" fillId="0" borderId="0">
      <alignment vertical="top"/>
    </xf>
    <xf numFmtId="0" fontId="8" fillId="0" borderId="0"/>
    <xf numFmtId="0" fontId="8" fillId="0" borderId="0"/>
    <xf numFmtId="0" fontId="12" fillId="0" borderId="0"/>
    <xf numFmtId="0" fontId="91" fillId="0" borderId="0"/>
    <xf numFmtId="0" fontId="86" fillId="0" borderId="0">
      <alignment vertical="top"/>
    </xf>
    <xf numFmtId="0" fontId="91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12" fillId="0" borderId="0">
      <alignment vertical="top"/>
    </xf>
    <xf numFmtId="0" fontId="12" fillId="0" borderId="0">
      <alignment vertical="top"/>
    </xf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12" fillId="0" borderId="0"/>
    <xf numFmtId="0" fontId="91" fillId="0" borderId="0"/>
    <xf numFmtId="0" fontId="12" fillId="0" borderId="0"/>
    <xf numFmtId="0" fontId="91" fillId="0" borderId="0"/>
    <xf numFmtId="0" fontId="86" fillId="0" borderId="0">
      <alignment vertical="top"/>
    </xf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6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1" fillId="0" borderId="0"/>
    <xf numFmtId="0" fontId="91" fillId="0" borderId="0"/>
    <xf numFmtId="0" fontId="91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1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7" fillId="0" borderId="0"/>
    <xf numFmtId="0" fontId="44" fillId="0" borderId="0"/>
    <xf numFmtId="0" fontId="44" fillId="0" borderId="0"/>
    <xf numFmtId="0" fontId="87" fillId="0" borderId="0"/>
    <xf numFmtId="0" fontId="91" fillId="0" borderId="0"/>
    <xf numFmtId="0" fontId="44" fillId="0" borderId="0"/>
    <xf numFmtId="0" fontId="44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2" fillId="37" borderId="0" applyNumberFormat="0" applyBorder="0" applyAlignment="0" applyProtection="0"/>
    <xf numFmtId="0" fontId="92" fillId="37" borderId="0" applyNumberFormat="0" applyBorder="0" applyAlignment="0" applyProtection="0"/>
    <xf numFmtId="0" fontId="92" fillId="37" borderId="0" applyNumberFormat="0" applyBorder="0" applyAlignment="0" applyProtection="0"/>
    <xf numFmtId="0" fontId="8" fillId="0" borderId="0" applyNumberFormat="0" applyBorder="0" applyAlignment="0" applyProtection="0"/>
    <xf numFmtId="0" fontId="92" fillId="37" borderId="0" applyNumberFormat="0" applyBorder="0" applyAlignment="0" applyProtection="0"/>
    <xf numFmtId="0" fontId="92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2" fillId="37" borderId="0" applyNumberFormat="0" applyBorder="0" applyAlignment="0" applyProtection="0"/>
    <xf numFmtId="0" fontId="92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2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3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3" fillId="5" borderId="0" applyNumberFormat="0" applyBorder="0" applyAlignment="0" applyProtection="0"/>
    <xf numFmtId="0" fontId="94" fillId="5" borderId="0" applyNumberFormat="0" applyBorder="0" applyAlignment="0" applyProtection="0"/>
    <xf numFmtId="0" fontId="93" fillId="5" borderId="0" applyNumberFormat="0" applyBorder="0" applyAlignment="0" applyProtection="0"/>
    <xf numFmtId="0" fontId="94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6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86" fillId="0" borderId="0" applyNumberFormat="0" applyFont="0" applyAlignment="0" applyProtection="0"/>
    <xf numFmtId="0" fontId="47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6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86" fillId="0" borderId="0" applyNumberFormat="0" applyFont="0" applyAlignment="0" applyProtection="0"/>
    <xf numFmtId="0" fontId="47" fillId="74" borderId="26" applyNumberFormat="0" applyFont="0" applyAlignment="0" applyProtection="0"/>
    <xf numFmtId="0" fontId="47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6" fillId="10" borderId="17" applyNumberFormat="0" applyFont="0" applyAlignment="0" applyProtection="0"/>
    <xf numFmtId="0" fontId="46" fillId="10" borderId="17" applyNumberFormat="0" applyFont="0" applyAlignment="0" applyProtection="0"/>
    <xf numFmtId="0" fontId="8" fillId="10" borderId="17" applyNumberFormat="0" applyFont="0" applyAlignment="0" applyProtection="0"/>
    <xf numFmtId="0" fontId="91" fillId="74" borderId="26" applyNumberFormat="0" applyFont="0" applyAlignment="0" applyProtection="0"/>
    <xf numFmtId="0" fontId="91" fillId="74" borderId="26" applyNumberFormat="0" applyFont="0" applyAlignment="0" applyProtection="0"/>
    <xf numFmtId="0" fontId="91" fillId="74" borderId="26" applyNumberFormat="0" applyFont="0" applyAlignment="0" applyProtection="0"/>
    <xf numFmtId="0" fontId="91" fillId="74" borderId="26" applyNumberFormat="0" applyFont="0" applyAlignment="0" applyProtection="0"/>
    <xf numFmtId="0" fontId="86" fillId="0" borderId="0" applyNumberFormat="0" applyFont="0" applyAlignment="0" applyProtection="0"/>
    <xf numFmtId="0" fontId="91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7" fillId="74" borderId="26" applyNumberFormat="0" applyFont="0" applyAlignment="0" applyProtection="0"/>
    <xf numFmtId="0" fontId="46" fillId="10" borderId="17" applyNumberFormat="0" applyFont="0" applyAlignment="0" applyProtection="0"/>
    <xf numFmtId="0" fontId="46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98" fillId="0" borderId="27" applyNumberFormat="0" applyFont="0" applyFill="0" applyAlignment="0" applyProtection="0"/>
    <xf numFmtId="0" fontId="99" fillId="0" borderId="28" applyNumberFormat="0" applyFill="0" applyAlignment="0" applyProtection="0"/>
    <xf numFmtId="0" fontId="99" fillId="0" borderId="28" applyNumberFormat="0" applyFill="0" applyAlignment="0" applyProtection="0"/>
    <xf numFmtId="0" fontId="99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99" fillId="0" borderId="28" applyNumberFormat="0" applyFill="0" applyAlignment="0" applyProtection="0"/>
    <xf numFmtId="0" fontId="99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99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8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0" fillId="0" borderId="15" applyNumberFormat="0" applyFill="0" applyAlignment="0" applyProtection="0"/>
    <xf numFmtId="0" fontId="101" fillId="0" borderId="15" applyNumberFormat="0" applyFill="0" applyAlignment="0" applyProtection="0"/>
    <xf numFmtId="0" fontId="100" fillId="0" borderId="15" applyNumberFormat="0" applyFill="0" applyAlignment="0" applyProtection="0"/>
    <xf numFmtId="0" fontId="101" fillId="0" borderId="15" applyNumberFormat="0" applyFill="0" applyAlignment="0" applyProtection="0"/>
    <xf numFmtId="0" fontId="16" fillId="0" borderId="0">
      <alignment vertical="top"/>
    </xf>
    <xf numFmtId="0" fontId="102" fillId="0" borderId="0"/>
    <xf numFmtId="0" fontId="16" fillId="0" borderId="0">
      <alignment vertical="top"/>
    </xf>
    <xf numFmtId="0" fontId="102" fillId="0" borderId="0"/>
    <xf numFmtId="0" fontId="47" fillId="0" borderId="0"/>
    <xf numFmtId="0" fontId="102" fillId="0" borderId="0"/>
    <xf numFmtId="0" fontId="23" fillId="0" borderId="0"/>
    <xf numFmtId="0" fontId="47" fillId="0" borderId="0"/>
    <xf numFmtId="0" fontId="23" fillId="0" borderId="0"/>
    <xf numFmtId="0" fontId="23" fillId="0" borderId="0"/>
    <xf numFmtId="0" fontId="102" fillId="0" borderId="0"/>
    <xf numFmtId="0" fontId="16" fillId="0" borderId="0">
      <alignment vertical="top"/>
    </xf>
    <xf numFmtId="0" fontId="16" fillId="0" borderId="0">
      <alignment vertical="top"/>
    </xf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3" fillId="0" borderId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6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74" fontId="23" fillId="0" borderId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91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4" fillId="0" borderId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7" fillId="39" borderId="0" applyNumberFormat="0" applyBorder="0" applyAlignment="0" applyProtection="0"/>
    <xf numFmtId="0" fontId="87" fillId="39" borderId="0" applyNumberFormat="0" applyBorder="0" applyAlignment="0" applyProtection="0"/>
    <xf numFmtId="0" fontId="87" fillId="39" borderId="0" applyNumberFormat="0" applyBorder="0" applyAlignment="0" applyProtection="0"/>
    <xf numFmtId="0" fontId="8" fillId="0" borderId="0" applyNumberFormat="0" applyBorder="0" applyAlignment="0" applyProtection="0"/>
    <xf numFmtId="0" fontId="87" fillId="39" borderId="0" applyNumberFormat="0" applyBorder="0" applyAlignment="0" applyProtection="0"/>
    <xf numFmtId="0" fontId="87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7" fillId="39" borderId="0" applyNumberFormat="0" applyBorder="0" applyAlignment="0" applyProtection="0"/>
    <xf numFmtId="0" fontId="87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7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2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6" fillId="4" borderId="0" applyNumberFormat="0" applyBorder="0" applyAlignment="0" applyProtection="0"/>
    <xf numFmtId="0" fontId="107" fillId="4" borderId="0" applyNumberFormat="0" applyBorder="0" applyAlignment="0" applyProtection="0"/>
    <xf numFmtId="0" fontId="106" fillId="4" borderId="0" applyNumberFormat="0" applyBorder="0" applyAlignment="0" applyProtection="0"/>
    <xf numFmtId="0" fontId="107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4" fillId="35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41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5" borderId="0" applyNumberFormat="0" applyBorder="0" applyAlignment="0" applyProtection="0"/>
    <xf numFmtId="0" fontId="44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53" borderId="0" applyNumberFormat="0" applyBorder="0" applyAlignment="0" applyProtection="0"/>
    <xf numFmtId="0" fontId="48" fillId="55" borderId="0" applyNumberFormat="0" applyBorder="0" applyAlignment="0" applyProtection="0"/>
    <xf numFmtId="0" fontId="48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6" fillId="0" borderId="0"/>
    <xf numFmtId="0" fontId="86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2" fillId="0" borderId="11" applyNumberFormat="0" applyFill="0" applyAlignment="0" applyProtection="0"/>
    <xf numFmtId="0" fontId="75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107" fillId="4" borderId="0" applyNumberFormat="0" applyBorder="0" applyAlignment="0" applyProtection="0"/>
    <xf numFmtId="0" fontId="94" fillId="5" borderId="0" applyNumberFormat="0" applyBorder="0" applyAlignment="0" applyProtection="0"/>
    <xf numFmtId="0" fontId="85" fillId="6" borderId="0" applyNumberFormat="0" applyBorder="0" applyAlignment="0" applyProtection="0"/>
    <xf numFmtId="0" fontId="57" fillId="7" borderId="13" applyNumberFormat="0" applyAlignment="0" applyProtection="0"/>
    <xf numFmtId="0" fontId="60" fillId="8" borderId="14" applyNumberFormat="0" applyAlignment="0" applyProtection="0"/>
    <xf numFmtId="0" fontId="63" fillId="8" borderId="13" applyNumberFormat="0" applyAlignment="0" applyProtection="0"/>
    <xf numFmtId="0" fontId="101" fillId="0" borderId="15" applyNumberFormat="0" applyFill="0" applyAlignment="0" applyProtection="0"/>
    <xf numFmtId="0" fontId="81" fillId="9" borderId="16" applyNumberFormat="0" applyAlignment="0" applyProtection="0"/>
    <xf numFmtId="0" fontId="10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8" fillId="0" borderId="18" applyNumberFormat="0" applyFill="0" applyAlignment="0" applyProtection="0"/>
    <xf numFmtId="0" fontId="50" fillId="11" borderId="0" applyNumberFormat="0" applyBorder="0" applyAlignment="0" applyProtection="0"/>
    <xf numFmtId="0" fontId="50" fillId="15" borderId="0" applyNumberFormat="0" applyBorder="0" applyAlignment="0" applyProtection="0"/>
    <xf numFmtId="0" fontId="50" fillId="19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3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50" fillId="14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50" fillId="18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50" fillId="22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50" fillId="26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50" fillId="30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50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1" fillId="74" borderId="26" applyNumberFormat="0" applyFont="0" applyAlignment="0" applyProtection="0"/>
    <xf numFmtId="0" fontId="50" fillId="14" borderId="0" applyNumberFormat="0" applyBorder="0" applyAlignment="0" applyProtection="0"/>
    <xf numFmtId="0" fontId="50" fillId="18" borderId="0" applyNumberFormat="0" applyBorder="0" applyAlignment="0" applyProtection="0"/>
    <xf numFmtId="0" fontId="50" fillId="22" borderId="0" applyNumberFormat="0" applyBorder="0" applyAlignment="0" applyProtection="0"/>
    <xf numFmtId="0" fontId="50" fillId="26" borderId="0" applyNumberFormat="0" applyBorder="0" applyAlignment="0" applyProtection="0"/>
    <xf numFmtId="0" fontId="50" fillId="30" borderId="0" applyNumberFormat="0" applyBorder="0" applyAlignment="0" applyProtection="0"/>
    <xf numFmtId="0" fontId="50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49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49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49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49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49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49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9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49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49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49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49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9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49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49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49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49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49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49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9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49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49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49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49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49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3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08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3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3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3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3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3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3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22">
    <xf numFmtId="0" fontId="0" fillId="0" borderId="0" xfId="0"/>
    <xf numFmtId="0" fontId="109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5" fillId="0" borderId="2" xfId="9" applyFont="1" applyFill="1" applyBorder="1" applyAlignment="1">
      <alignment horizontal="center" vertical="center" wrapText="1"/>
    </xf>
    <xf numFmtId="0" fontId="26" fillId="0" borderId="0" xfId="9" applyFont="1"/>
    <xf numFmtId="0" fontId="26" fillId="75" borderId="0" xfId="9" applyFont="1" applyFill="1"/>
    <xf numFmtId="0" fontId="15" fillId="0" borderId="0" xfId="9" applyFont="1"/>
    <xf numFmtId="0" fontId="26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26" fillId="0" borderId="0" xfId="9" applyFont="1" applyBorder="1"/>
    <xf numFmtId="0" fontId="26" fillId="75" borderId="0" xfId="9" applyFont="1" applyFill="1" applyBorder="1"/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0" fontId="25" fillId="3" borderId="2" xfId="9" applyFont="1" applyFill="1" applyBorder="1" applyAlignment="1">
      <alignment horizontal="center" vertical="center" wrapText="1"/>
    </xf>
    <xf numFmtId="3" fontId="25" fillId="3" borderId="2" xfId="9" applyNumberFormat="1" applyFont="1" applyFill="1" applyBorder="1" applyAlignment="1">
      <alignment horizontal="center" vertical="center" wrapText="1"/>
    </xf>
    <xf numFmtId="168" fontId="25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5" fillId="2" borderId="30" xfId="2" applyFont="1" applyFill="1" applyBorder="1" applyAlignment="1">
      <alignment vertical="center" wrapText="1"/>
    </xf>
    <xf numFmtId="0" fontId="110" fillId="0" borderId="30" xfId="2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5" fillId="3" borderId="5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6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6" fillId="0" borderId="6" xfId="9" applyFont="1" applyBorder="1" applyAlignment="1">
      <alignment vertical="top"/>
    </xf>
    <xf numFmtId="0" fontId="25" fillId="2" borderId="29" xfId="9" applyFont="1" applyFill="1" applyBorder="1" applyAlignment="1">
      <alignment horizontal="left" vertical="top" indent="1"/>
    </xf>
    <xf numFmtId="0" fontId="15" fillId="0" borderId="31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6" fillId="0" borderId="31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6" fillId="0" borderId="31" xfId="9" applyFont="1" applyBorder="1" applyAlignment="1">
      <alignment horizontal="left" vertical="top" indent="1"/>
    </xf>
    <xf numFmtId="0" fontId="25" fillId="2" borderId="31" xfId="9" applyFont="1" applyFill="1" applyBorder="1" applyAlignment="1">
      <alignment horizontal="left" vertical="top" indent="1"/>
    </xf>
    <xf numFmtId="0" fontId="114" fillId="0" borderId="34" xfId="0" applyFont="1" applyFill="1" applyBorder="1" applyAlignment="1">
      <alignment horizontal="left" vertical="center" wrapText="1" indent="1"/>
    </xf>
    <xf numFmtId="0" fontId="19" fillId="0" borderId="30" xfId="0" applyFont="1" applyFill="1" applyBorder="1" applyAlignment="1">
      <alignment vertical="center" wrapText="1"/>
    </xf>
    <xf numFmtId="0" fontId="25" fillId="0" borderId="2" xfId="9" applyFont="1" applyFill="1" applyBorder="1" applyAlignment="1">
      <alignment vertical="center" wrapText="1"/>
    </xf>
    <xf numFmtId="0" fontId="25" fillId="0" borderId="5" xfId="9" applyFont="1" applyFill="1" applyBorder="1" applyAlignment="1">
      <alignment horizontal="center" vertical="center" wrapText="1"/>
    </xf>
    <xf numFmtId="0" fontId="25" fillId="0" borderId="7" xfId="9" applyFont="1" applyFill="1" applyBorder="1" applyAlignment="1">
      <alignment horizontal="center" vertical="center" wrapText="1"/>
    </xf>
    <xf numFmtId="0" fontId="26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5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5" fillId="2" borderId="30" xfId="9" applyFont="1" applyFill="1" applyBorder="1" applyAlignment="1">
      <alignment horizontal="left" vertical="top" indent="1"/>
    </xf>
    <xf numFmtId="0" fontId="26" fillId="0" borderId="30" xfId="9" applyFont="1" applyFill="1" applyBorder="1" applyAlignment="1">
      <alignment horizontal="left" vertical="top" indent="1"/>
    </xf>
    <xf numFmtId="0" fontId="26" fillId="0" borderId="31" xfId="9" applyFont="1" applyFill="1" applyBorder="1" applyAlignment="1"/>
    <xf numFmtId="0" fontId="15" fillId="0" borderId="33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15" fillId="0" borderId="0" xfId="9" applyFont="1" applyFill="1" applyAlignment="1">
      <alignment vertical="center"/>
    </xf>
    <xf numFmtId="0" fontId="25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1" fillId="0" borderId="2" xfId="0" applyNumberFormat="1" applyFont="1" applyFill="1" applyBorder="1" applyAlignment="1">
      <alignment horizontal="center" vertical="center" wrapText="1"/>
    </xf>
    <xf numFmtId="168" fontId="25" fillId="3" borderId="2" xfId="9" applyNumberFormat="1" applyFont="1" applyFill="1" applyBorder="1" applyAlignment="1">
      <alignment horizontal="center" vertical="center"/>
    </xf>
    <xf numFmtId="3" fontId="25" fillId="3" borderId="2" xfId="9" applyNumberFormat="1" applyFont="1" applyFill="1" applyBorder="1" applyAlignment="1">
      <alignment horizontal="center" vertical="center"/>
    </xf>
    <xf numFmtId="180" fontId="25" fillId="3" borderId="2" xfId="9" applyNumberFormat="1" applyFont="1" applyFill="1" applyBorder="1" applyAlignment="1">
      <alignment horizontal="center" vertical="center" wrapText="1"/>
    </xf>
    <xf numFmtId="3" fontId="25" fillId="0" borderId="2" xfId="9" applyNumberFormat="1" applyFont="1" applyFill="1" applyBorder="1" applyAlignment="1">
      <alignment horizontal="center" vertical="center"/>
    </xf>
    <xf numFmtId="3" fontId="25" fillId="0" borderId="2" xfId="9" applyNumberFormat="1" applyFont="1" applyFill="1" applyBorder="1" applyAlignment="1">
      <alignment horizontal="center" vertical="center"/>
    </xf>
    <xf numFmtId="3" fontId="25" fillId="3" borderId="30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5" fillId="2" borderId="7" xfId="9" applyFont="1" applyFill="1" applyBorder="1" applyAlignment="1">
      <alignment horizontal="left" vertical="top" indent="1"/>
    </xf>
    <xf numFmtId="0" fontId="25" fillId="0" borderId="29" xfId="9" applyFont="1" applyFill="1" applyBorder="1" applyAlignment="1">
      <alignment vertical="center" wrapText="1"/>
    </xf>
    <xf numFmtId="0" fontId="26" fillId="0" borderId="3" xfId="9" applyFont="1" applyFill="1" applyBorder="1" applyAlignment="1">
      <alignment horizontal="left" vertical="top" indent="1"/>
    </xf>
    <xf numFmtId="0" fontId="21" fillId="0" borderId="2" xfId="0" applyFont="1" applyFill="1" applyBorder="1" applyAlignment="1">
      <alignment horizontal="center" vertical="center" wrapText="1"/>
    </xf>
    <xf numFmtId="3" fontId="25" fillId="0" borderId="2" xfId="9" applyNumberFormat="1" applyFont="1" applyFill="1" applyBorder="1" applyAlignment="1">
      <alignment horizontal="center" vertical="center"/>
    </xf>
    <xf numFmtId="0" fontId="113" fillId="77" borderId="0" xfId="3" applyFont="1" applyFill="1" applyAlignment="1">
      <alignment horizontal="center" wrapText="1"/>
    </xf>
    <xf numFmtId="3" fontId="25" fillId="0" borderId="2" xfId="9" applyNumberFormat="1" applyFont="1" applyFill="1" applyBorder="1" applyAlignment="1">
      <alignment horizontal="center" vertical="center"/>
    </xf>
    <xf numFmtId="0" fontId="25" fillId="0" borderId="4" xfId="8" applyFont="1" applyFill="1" applyBorder="1" applyAlignment="1">
      <alignment horizontal="left" vertical="center" wrapText="1"/>
    </xf>
    <xf numFmtId="0" fontId="25" fillId="0" borderId="30" xfId="8" applyFont="1" applyFill="1" applyBorder="1" applyAlignment="1">
      <alignment horizontal="left" vertical="center" wrapText="1"/>
    </xf>
    <xf numFmtId="0" fontId="25" fillId="0" borderId="4" xfId="8" applyFont="1" applyFill="1" applyBorder="1" applyAlignment="1">
      <alignment horizontal="center" vertical="center" wrapText="1"/>
    </xf>
    <xf numFmtId="0" fontId="25" fillId="0" borderId="30" xfId="8" applyFont="1" applyFill="1" applyBorder="1" applyAlignment="1">
      <alignment horizontal="center" vertical="center" wrapText="1"/>
    </xf>
    <xf numFmtId="0" fontId="112" fillId="77" borderId="0" xfId="9" applyFont="1" applyFill="1" applyBorder="1" applyAlignment="1">
      <alignment horizontal="center" vertical="center" wrapText="1"/>
    </xf>
    <xf numFmtId="0" fontId="25" fillId="0" borderId="5" xfId="8" applyFont="1" applyFill="1" applyBorder="1" applyAlignment="1">
      <alignment horizontal="center" vertical="center" wrapText="1"/>
    </xf>
    <xf numFmtId="0" fontId="25" fillId="0" borderId="6" xfId="8" applyFont="1" applyFill="1" applyBorder="1" applyAlignment="1">
      <alignment horizontal="center" vertical="center" wrapText="1"/>
    </xf>
    <xf numFmtId="0" fontId="25" fillId="0" borderId="3" xfId="8" applyFont="1" applyFill="1" applyBorder="1" applyAlignment="1">
      <alignment horizontal="center" vertical="center" wrapText="1"/>
    </xf>
    <xf numFmtId="0" fontId="25" fillId="0" borderId="7" xfId="8" applyFont="1" applyFill="1" applyBorder="1" applyAlignment="1">
      <alignment horizontal="center" vertical="center" wrapText="1"/>
    </xf>
    <xf numFmtId="0" fontId="25" fillId="0" borderId="29" xfId="8" applyFont="1" applyFill="1" applyBorder="1" applyAlignment="1">
      <alignment horizontal="center" vertical="center" wrapText="1"/>
    </xf>
    <xf numFmtId="0" fontId="25" fillId="0" borderId="32" xfId="8" applyFont="1" applyFill="1" applyBorder="1" applyAlignment="1">
      <alignment horizontal="center" vertical="center" wrapText="1"/>
    </xf>
    <xf numFmtId="0" fontId="25" fillId="0" borderId="31" xfId="8" applyFont="1" applyFill="1" applyBorder="1" applyAlignment="1">
      <alignment horizontal="center" vertical="center" wrapText="1"/>
    </xf>
    <xf numFmtId="0" fontId="25" fillId="0" borderId="9" xfId="8" applyFont="1" applyFill="1" applyBorder="1" applyAlignment="1">
      <alignment horizontal="center" vertical="center" wrapText="1"/>
    </xf>
    <xf numFmtId="0" fontId="25" fillId="0" borderId="33" xfId="8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12" fillId="0" borderId="0" xfId="9" applyBorder="1"/>
    <xf numFmtId="3" fontId="14" fillId="0" borderId="0" xfId="9" applyNumberFormat="1" applyFont="1" applyFill="1" applyBorder="1" applyAlignment="1">
      <alignment vertical="center"/>
    </xf>
    <xf numFmtId="168" fontId="14" fillId="0" borderId="0" xfId="9" applyNumberFormat="1" applyFont="1" applyFill="1" applyBorder="1" applyAlignment="1">
      <alignment vertical="center"/>
    </xf>
    <xf numFmtId="0" fontId="25" fillId="0" borderId="0" xfId="8" applyFont="1" applyFill="1" applyBorder="1" applyAlignment="1">
      <alignment horizontal="center" vertical="center" wrapText="1"/>
    </xf>
    <xf numFmtId="3" fontId="13" fillId="0" borderId="0" xfId="9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25" fillId="0" borderId="0" xfId="8" applyFont="1" applyFill="1" applyBorder="1" applyAlignment="1">
      <alignment horizontal="center" vertical="center" wrapText="1"/>
    </xf>
    <xf numFmtId="0" fontId="25" fillId="0" borderId="0" xfId="8" applyFont="1" applyFill="1" applyBorder="1" applyAlignment="1">
      <alignment horizontal="left" vertical="center" wrapText="1"/>
    </xf>
    <xf numFmtId="3" fontId="25" fillId="0" borderId="0" xfId="9" applyNumberFormat="1" applyFont="1" applyFill="1" applyBorder="1" applyAlignment="1">
      <alignment horizontal="center" vertical="center"/>
    </xf>
    <xf numFmtId="3" fontId="20" fillId="0" borderId="0" xfId="9" applyNumberFormat="1" applyFont="1" applyBorder="1" applyAlignment="1">
      <alignment horizontal="center" vertical="center"/>
    </xf>
    <xf numFmtId="0" fontId="15" fillId="0" borderId="0" xfId="16009" applyFont="1" applyFill="1" applyBorder="1" applyAlignment="1">
      <alignment horizontal="center"/>
    </xf>
    <xf numFmtId="0" fontId="22" fillId="0" borderId="0" xfId="0" applyFont="1" applyBorder="1" applyAlignment="1">
      <alignment horizontal="left" vertical="center" wrapText="1" indent="1"/>
    </xf>
    <xf numFmtId="0" fontId="12" fillId="0" borderId="0" xfId="9" applyFill="1" applyBorder="1"/>
  </cellXfs>
  <cellStyles count="33179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59"/>
    <cellStyle name="Обычный 10 4 2 3 2 6 2 2 4 2 2 3 2 2" xfId="33164"/>
    <cellStyle name="Обычный 10 4 2 3 2 6 2 2 4 2 2 3 2 2 2" xfId="33171"/>
    <cellStyle name="Обычный 10 4 2 3 2 6 2 2 4 2 2 3 2 2 2 2" xfId="33176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7"/>
    <cellStyle name="Обычный 10 4 5 6 2 2 4 2 2 3 2 2" xfId="33162"/>
    <cellStyle name="Обычный 10 4 5 6 2 2 4 2 2 3 2 2 2" xfId="33169"/>
    <cellStyle name="Обычный 10 4 5 6 2 2 4 2 2 3 2 2 2 2" xfId="33174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58"/>
    <cellStyle name="Обычный 10 6 2 2 2 6 2 2 4 2 2 3 2 2" xfId="33163"/>
    <cellStyle name="Обычный 10 6 2 2 2 6 2 2 4 2 2 3 2 2 2" xfId="33170"/>
    <cellStyle name="Обычный 10 6 2 2 2 6 2 2 4 2 2 3 2 2 2 2" xfId="33175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67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1"/>
    <cellStyle name="Обычный 7 6 2 2 2 2 3 2 2 4 2 2 3 2 2" xfId="33166"/>
    <cellStyle name="Обычный 7 6 2 2 2 2 3 2 2 4 2 2 3 2 2 2" xfId="33173"/>
    <cellStyle name="Обычный 7 6 2 2 2 2 3 2 2 4 2 2 3 2 2 2 2" xfId="33178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Приложение 4 к Решению СМП" xfId="1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0"/>
    <cellStyle name="Финансовый 15 2 2 2 3 2 4 2 2 3 2 2" xfId="33165"/>
    <cellStyle name="Финансовый 15 2 2 2 3 2 4 2 2 3 2 2 2" xfId="33172"/>
    <cellStyle name="Финансовый 15 2 2 2 3 2 4 2 2 3 2 2 2 2" xfId="33177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68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colors>
    <mruColors>
      <color rgb="FFFFCCFF"/>
      <color rgb="FFFF99FF"/>
      <color rgb="FFFFFFCC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FF"/>
  </sheetPr>
  <dimension ref="A1:AE239"/>
  <sheetViews>
    <sheetView tabSelected="1" topLeftCell="B1" zoomScale="90" zoomScaleNormal="90" workbookViewId="0">
      <pane xSplit="6" ySplit="9" topLeftCell="H10" activePane="bottomRight" state="frozen"/>
      <selection activeCell="W305" sqref="W305"/>
      <selection pane="topRight" activeCell="W305" sqref="W305"/>
      <selection pane="bottomLeft" activeCell="W305" sqref="W305"/>
      <selection pane="bottomRight" activeCell="F216" sqref="F216"/>
    </sheetView>
  </sheetViews>
  <sheetFormatPr defaultColWidth="7.7109375" defaultRowHeight="15.75" x14ac:dyDescent="0.25"/>
  <cols>
    <col min="1" max="1" width="7.7109375" style="22" hidden="1" customWidth="1"/>
    <col min="2" max="2" width="4" style="23" hidden="1" customWidth="1"/>
    <col min="3" max="3" width="4.140625" style="23" hidden="1" customWidth="1"/>
    <col min="4" max="5" width="6" style="22" hidden="1" customWidth="1"/>
    <col min="6" max="6" width="11.85546875" style="22" customWidth="1"/>
    <col min="7" max="7" width="33.5703125" style="22" customWidth="1"/>
    <col min="8" max="8" width="69.28515625" style="24" customWidth="1"/>
    <col min="9" max="9" width="19.7109375" style="5" customWidth="1"/>
    <col min="10" max="10" width="19.85546875" style="19" customWidth="1"/>
    <col min="11" max="11" width="17" style="6" customWidth="1"/>
    <col min="12" max="12" width="19.5703125" style="6" customWidth="1"/>
    <col min="13" max="13" width="17.85546875" style="6" customWidth="1"/>
    <col min="14" max="14" width="14.85546875" style="6" customWidth="1"/>
    <col min="15" max="15" width="16.140625" style="19" customWidth="1"/>
    <col min="16" max="16" width="10.140625" style="6" customWidth="1"/>
    <col min="17" max="17" width="13" style="6" customWidth="1"/>
    <col min="18" max="19" width="11.85546875" style="6" customWidth="1"/>
    <col min="20" max="20" width="7.7109375" style="6"/>
    <col min="21" max="21" width="19.5703125" style="6" customWidth="1"/>
    <col min="22" max="22" width="22.5703125" style="6" customWidth="1"/>
    <col min="23" max="24" width="7.7109375" style="6"/>
    <col min="25" max="25" width="11.85546875" style="22" customWidth="1"/>
    <col min="26" max="26" width="31.28515625" style="22" customWidth="1"/>
    <col min="27" max="27" width="66.140625" style="24" customWidth="1"/>
    <col min="28" max="28" width="19.5703125" style="5" customWidth="1"/>
    <col min="29" max="29" width="17.85546875" style="19" customWidth="1"/>
    <col min="30" max="16384" width="7.7109375" style="6"/>
  </cols>
  <sheetData>
    <row r="1" spans="1:29" x14ac:dyDescent="0.25">
      <c r="A1" s="1">
        <v>0</v>
      </c>
      <c r="B1" s="2"/>
      <c r="C1" s="2"/>
      <c r="D1" s="3"/>
      <c r="E1" s="3"/>
      <c r="F1" s="3"/>
      <c r="G1" s="3"/>
      <c r="H1" s="4"/>
      <c r="J1" s="36" t="s">
        <v>114</v>
      </c>
      <c r="O1" s="6"/>
      <c r="Y1" s="6"/>
      <c r="Z1" s="6"/>
      <c r="AA1" s="6"/>
      <c r="AB1" s="6"/>
      <c r="AC1" s="6"/>
    </row>
    <row r="2" spans="1:29" x14ac:dyDescent="0.25">
      <c r="A2" s="1">
        <v>0</v>
      </c>
      <c r="B2" s="2"/>
      <c r="C2" s="2"/>
      <c r="D2" s="3"/>
      <c r="E2" s="3"/>
      <c r="F2" s="3"/>
      <c r="G2" s="3"/>
      <c r="H2" s="4"/>
      <c r="J2" s="36" t="s">
        <v>150</v>
      </c>
      <c r="O2" s="6"/>
      <c r="Y2" s="6"/>
      <c r="Z2" s="6"/>
      <c r="AA2" s="6"/>
      <c r="AB2" s="6"/>
      <c r="AC2" s="6"/>
    </row>
    <row r="3" spans="1:29" x14ac:dyDescent="0.25">
      <c r="A3" s="1">
        <v>0</v>
      </c>
      <c r="B3" s="2"/>
      <c r="C3" s="2"/>
      <c r="D3" s="3"/>
      <c r="E3" s="3"/>
      <c r="F3" s="3"/>
      <c r="G3" s="3"/>
      <c r="H3" s="4"/>
      <c r="J3" s="36" t="s">
        <v>0</v>
      </c>
      <c r="O3" s="6"/>
      <c r="Y3" s="6"/>
      <c r="Z3" s="6"/>
      <c r="AA3" s="6"/>
      <c r="AB3" s="6"/>
      <c r="AC3" s="6"/>
    </row>
    <row r="4" spans="1:29" x14ac:dyDescent="0.25">
      <c r="A4" s="1">
        <v>0</v>
      </c>
      <c r="B4" s="2"/>
      <c r="C4" s="2"/>
      <c r="D4" s="3"/>
      <c r="E4" s="3"/>
      <c r="F4" s="3"/>
      <c r="G4" s="3"/>
      <c r="H4" s="4"/>
      <c r="J4" s="36" t="s">
        <v>1</v>
      </c>
      <c r="O4" s="6"/>
      <c r="Y4" s="6"/>
      <c r="Z4" s="6"/>
      <c r="AA4" s="6"/>
      <c r="AB4" s="6"/>
      <c r="AC4" s="6"/>
    </row>
    <row r="5" spans="1:29" x14ac:dyDescent="0.25">
      <c r="A5" s="1">
        <v>0</v>
      </c>
      <c r="B5" s="2"/>
      <c r="C5" s="2"/>
      <c r="D5" s="3"/>
      <c r="E5" s="3"/>
      <c r="F5" s="3"/>
      <c r="G5" s="3"/>
      <c r="H5" s="4"/>
      <c r="J5" s="36" t="s">
        <v>151</v>
      </c>
      <c r="O5" s="6"/>
      <c r="Y5" s="6"/>
      <c r="Z5" s="6"/>
      <c r="AA5" s="6"/>
      <c r="AB5" s="6"/>
      <c r="AC5" s="6"/>
    </row>
    <row r="6" spans="1:29" x14ac:dyDescent="0.25">
      <c r="A6" s="1"/>
      <c r="B6" s="2"/>
      <c r="C6" s="2"/>
      <c r="D6" s="2"/>
      <c r="E6" s="2"/>
      <c r="F6" s="3"/>
      <c r="G6" s="3"/>
      <c r="H6" s="8"/>
      <c r="I6" s="9"/>
      <c r="J6" s="10"/>
      <c r="O6" s="6"/>
      <c r="Y6" s="6"/>
      <c r="Z6" s="6"/>
      <c r="AA6" s="6"/>
      <c r="AB6" s="6"/>
      <c r="AC6" s="6"/>
    </row>
    <row r="7" spans="1:29" ht="80.25" customHeight="1" x14ac:dyDescent="0.25">
      <c r="A7" s="1">
        <v>0</v>
      </c>
      <c r="B7" s="2"/>
      <c r="C7" s="2"/>
      <c r="D7" s="3"/>
      <c r="E7" s="3"/>
      <c r="F7" s="98" t="s">
        <v>121</v>
      </c>
      <c r="G7" s="98"/>
      <c r="H7" s="98"/>
      <c r="I7" s="98"/>
      <c r="J7" s="98"/>
      <c r="O7" s="6"/>
      <c r="Y7" s="6"/>
      <c r="Z7" s="6"/>
      <c r="AA7" s="6"/>
      <c r="AB7" s="6"/>
      <c r="AC7" s="6"/>
    </row>
    <row r="8" spans="1:29" ht="5.25" customHeight="1" x14ac:dyDescent="0.25">
      <c r="A8" s="1"/>
      <c r="B8" s="2"/>
      <c r="C8" s="2"/>
      <c r="D8" s="3"/>
      <c r="E8" s="3"/>
      <c r="F8" s="33"/>
      <c r="G8" s="33"/>
      <c r="H8" s="27"/>
      <c r="I8" s="28"/>
      <c r="J8" s="29"/>
      <c r="O8" s="6"/>
      <c r="Y8" s="6"/>
      <c r="Z8" s="6"/>
      <c r="AA8" s="6"/>
      <c r="AB8" s="6"/>
      <c r="AC8" s="6"/>
    </row>
    <row r="9" spans="1:29" s="12" customFormat="1" ht="63" x14ac:dyDescent="0.25">
      <c r="A9" s="6">
        <v>0</v>
      </c>
      <c r="B9" s="11" t="s">
        <v>65</v>
      </c>
      <c r="C9" s="11" t="s">
        <v>66</v>
      </c>
      <c r="D9" s="54" t="s">
        <v>67</v>
      </c>
      <c r="E9" s="55"/>
      <c r="F9" s="37" t="s">
        <v>2</v>
      </c>
      <c r="G9" s="37"/>
      <c r="H9" s="30" t="s">
        <v>68</v>
      </c>
      <c r="I9" s="31" t="s">
        <v>148</v>
      </c>
      <c r="J9" s="32" t="s">
        <v>26</v>
      </c>
    </row>
    <row r="10" spans="1:29" s="12" customFormat="1" x14ac:dyDescent="0.25">
      <c r="A10" s="6">
        <v>0</v>
      </c>
      <c r="B10" s="13"/>
      <c r="C10" s="13"/>
      <c r="D10" s="26">
        <f>F10</f>
        <v>204</v>
      </c>
      <c r="E10" s="26"/>
      <c r="F10" s="39">
        <v>204</v>
      </c>
      <c r="G10" s="44" t="s">
        <v>32</v>
      </c>
      <c r="H10" s="52"/>
      <c r="I10" s="79">
        <f>I11</f>
        <v>60</v>
      </c>
      <c r="J10" s="79">
        <f>J11</f>
        <v>2596.1</v>
      </c>
    </row>
    <row r="11" spans="1:29" s="12" customFormat="1" x14ac:dyDescent="0.25">
      <c r="A11" s="6">
        <v>0</v>
      </c>
      <c r="D11" s="25">
        <f>D10</f>
        <v>204</v>
      </c>
      <c r="E11" s="25"/>
      <c r="F11" s="40"/>
      <c r="G11" s="45"/>
      <c r="H11" s="46" t="s">
        <v>5</v>
      </c>
      <c r="I11" s="69">
        <v>60</v>
      </c>
      <c r="J11" s="61">
        <v>2596.1</v>
      </c>
    </row>
    <row r="12" spans="1:29" s="12" customFormat="1" x14ac:dyDescent="0.25">
      <c r="A12" s="6">
        <v>0</v>
      </c>
      <c r="B12" s="13"/>
      <c r="C12" s="13"/>
      <c r="D12" s="26">
        <f>F12</f>
        <v>399</v>
      </c>
      <c r="E12" s="26"/>
      <c r="F12" s="42">
        <v>399</v>
      </c>
      <c r="G12" s="44" t="s">
        <v>69</v>
      </c>
      <c r="H12" s="53"/>
      <c r="I12" s="79">
        <f>I13+I15+I14</f>
        <v>266</v>
      </c>
      <c r="J12" s="79">
        <f>J13+J15+J14</f>
        <v>11504.1</v>
      </c>
    </row>
    <row r="13" spans="1:29" s="12" customFormat="1" ht="31.5" x14ac:dyDescent="0.25">
      <c r="A13" s="6">
        <v>0</v>
      </c>
      <c r="D13" s="25" t="e">
        <f>#REF!</f>
        <v>#REF!</v>
      </c>
      <c r="E13" s="25"/>
      <c r="F13" s="41"/>
      <c r="G13" s="47"/>
      <c r="H13" s="85" t="s">
        <v>70</v>
      </c>
      <c r="I13" s="69">
        <v>202</v>
      </c>
      <c r="J13" s="61">
        <f>8808.4+69.6</f>
        <v>8878</v>
      </c>
    </row>
    <row r="14" spans="1:29" s="12" customFormat="1" ht="31.5" x14ac:dyDescent="0.25">
      <c r="A14" s="6"/>
      <c r="D14" s="25"/>
      <c r="E14" s="25"/>
      <c r="F14" s="41"/>
      <c r="G14" s="47"/>
      <c r="H14" s="85" t="s">
        <v>149</v>
      </c>
      <c r="I14" s="69">
        <v>10</v>
      </c>
      <c r="J14" s="61">
        <v>133.1</v>
      </c>
    </row>
    <row r="15" spans="1:29" s="12" customFormat="1" x14ac:dyDescent="0.25">
      <c r="A15" s="6">
        <v>0</v>
      </c>
      <c r="D15" s="25" t="e">
        <f>#REF!</f>
        <v>#REF!</v>
      </c>
      <c r="E15" s="25"/>
      <c r="F15" s="41"/>
      <c r="G15" s="47"/>
      <c r="H15" s="46" t="s">
        <v>10</v>
      </c>
      <c r="I15" s="69">
        <v>54</v>
      </c>
      <c r="J15" s="61">
        <f>2562.6-69.6</f>
        <v>2493</v>
      </c>
    </row>
    <row r="16" spans="1:29" s="12" customFormat="1" x14ac:dyDescent="0.25">
      <c r="A16" s="6">
        <v>0</v>
      </c>
      <c r="D16" s="26">
        <f>F16</f>
        <v>61</v>
      </c>
      <c r="E16" s="25"/>
      <c r="F16" s="42">
        <v>61</v>
      </c>
      <c r="G16" s="44" t="s">
        <v>41</v>
      </c>
      <c r="H16" s="53"/>
      <c r="I16" s="80">
        <f t="shared" ref="I16" si="0">ROUND(I17+I18+I19+I20+I21,0)</f>
        <v>341</v>
      </c>
      <c r="J16" s="79">
        <f>ROUND(J17+J18+J19+J20+J21,1)</f>
        <v>9248.4</v>
      </c>
    </row>
    <row r="17" spans="1:10" s="12" customFormat="1" ht="47.25" x14ac:dyDescent="0.25">
      <c r="A17" s="6">
        <v>0</v>
      </c>
      <c r="D17" s="25">
        <f t="shared" ref="D17:D20" si="1">D16</f>
        <v>61</v>
      </c>
      <c r="E17" s="25"/>
      <c r="F17" s="41"/>
      <c r="G17" s="47"/>
      <c r="H17" s="46" t="s">
        <v>71</v>
      </c>
      <c r="I17" s="69">
        <v>5</v>
      </c>
      <c r="J17" s="61">
        <v>103.7</v>
      </c>
    </row>
    <row r="18" spans="1:10" s="12" customFormat="1" ht="31.5" x14ac:dyDescent="0.25">
      <c r="A18" s="6">
        <v>0</v>
      </c>
      <c r="D18" s="25">
        <f t="shared" si="1"/>
        <v>61</v>
      </c>
      <c r="E18" s="25"/>
      <c r="F18" s="41"/>
      <c r="G18" s="47"/>
      <c r="H18" s="46" t="s">
        <v>72</v>
      </c>
      <c r="I18" s="69">
        <v>35</v>
      </c>
      <c r="J18" s="61">
        <v>373.4</v>
      </c>
    </row>
    <row r="19" spans="1:10" s="12" customFormat="1" x14ac:dyDescent="0.25">
      <c r="A19" s="6">
        <v>0</v>
      </c>
      <c r="D19" s="25">
        <f t="shared" si="1"/>
        <v>61</v>
      </c>
      <c r="E19" s="25"/>
      <c r="F19" s="41"/>
      <c r="G19" s="47"/>
      <c r="H19" s="46" t="s">
        <v>6</v>
      </c>
      <c r="I19" s="69">
        <v>14</v>
      </c>
      <c r="J19" s="61">
        <v>313.7</v>
      </c>
    </row>
    <row r="20" spans="1:10" s="12" customFormat="1" x14ac:dyDescent="0.25">
      <c r="A20" s="6">
        <v>0</v>
      </c>
      <c r="D20" s="25">
        <f t="shared" si="1"/>
        <v>61</v>
      </c>
      <c r="E20" s="25"/>
      <c r="F20" s="41"/>
      <c r="G20" s="47"/>
      <c r="H20" s="46" t="s">
        <v>7</v>
      </c>
      <c r="I20" s="69">
        <v>228</v>
      </c>
      <c r="J20" s="61">
        <v>6379.7</v>
      </c>
    </row>
    <row r="21" spans="1:10" s="12" customFormat="1" x14ac:dyDescent="0.25">
      <c r="A21" s="6">
        <v>0</v>
      </c>
      <c r="B21" s="13">
        <f>D21</f>
        <v>29</v>
      </c>
      <c r="C21" s="13"/>
      <c r="D21" s="26">
        <v>29</v>
      </c>
      <c r="E21" s="26"/>
      <c r="F21" s="41"/>
      <c r="G21" s="47"/>
      <c r="H21" s="46" t="s">
        <v>4</v>
      </c>
      <c r="I21" s="69">
        <v>59</v>
      </c>
      <c r="J21" s="61">
        <v>2077.9</v>
      </c>
    </row>
    <row r="22" spans="1:10" s="12" customFormat="1" x14ac:dyDescent="0.25">
      <c r="A22" s="6">
        <v>0</v>
      </c>
      <c r="D22" s="26">
        <f>F22</f>
        <v>29</v>
      </c>
      <c r="E22" s="25"/>
      <c r="F22" s="42">
        <v>29</v>
      </c>
      <c r="G22" s="44" t="s">
        <v>73</v>
      </c>
      <c r="H22" s="53"/>
      <c r="I22" s="80">
        <f t="shared" ref="I22" si="2">ROUND(I23,0)</f>
        <v>1400</v>
      </c>
      <c r="J22" s="79">
        <f>ROUND(J23,1)</f>
        <v>43109.8</v>
      </c>
    </row>
    <row r="23" spans="1:10" s="12" customFormat="1" x14ac:dyDescent="0.25">
      <c r="A23" s="6">
        <v>0</v>
      </c>
      <c r="B23" s="13">
        <f>D23</f>
        <v>33</v>
      </c>
      <c r="C23" s="13"/>
      <c r="D23" s="26">
        <v>33</v>
      </c>
      <c r="E23" s="26"/>
      <c r="F23" s="41"/>
      <c r="G23" s="47"/>
      <c r="H23" s="46" t="s">
        <v>8</v>
      </c>
      <c r="I23" s="69">
        <v>1400</v>
      </c>
      <c r="J23" s="61">
        <v>43109.799999999996</v>
      </c>
    </row>
    <row r="24" spans="1:10" s="12" customFormat="1" x14ac:dyDescent="0.25">
      <c r="A24" s="6">
        <v>0</v>
      </c>
      <c r="D24" s="26">
        <f>F24</f>
        <v>33</v>
      </c>
      <c r="E24" s="25"/>
      <c r="F24" s="42">
        <v>33</v>
      </c>
      <c r="G24" s="44" t="s">
        <v>74</v>
      </c>
      <c r="H24" s="53"/>
      <c r="I24" s="80">
        <f t="shared" ref="I24" si="3">ROUND(I25+I26,0)</f>
        <v>2148</v>
      </c>
      <c r="J24" s="79">
        <f>ROUND(J25+J26,1)</f>
        <v>43110.1</v>
      </c>
    </row>
    <row r="25" spans="1:10" s="12" customFormat="1" x14ac:dyDescent="0.25">
      <c r="A25" s="6">
        <v>0</v>
      </c>
      <c r="D25" s="25">
        <f t="shared" ref="D25" si="4">D24</f>
        <v>33</v>
      </c>
      <c r="E25" s="25"/>
      <c r="F25" s="41"/>
      <c r="G25" s="47"/>
      <c r="H25" s="46" t="s">
        <v>7</v>
      </c>
      <c r="I25" s="69">
        <v>1794</v>
      </c>
      <c r="J25" s="61">
        <v>36248.400000000001</v>
      </c>
    </row>
    <row r="26" spans="1:10" s="12" customFormat="1" x14ac:dyDescent="0.25">
      <c r="A26" s="6">
        <v>0</v>
      </c>
      <c r="B26" s="13">
        <f>D26</f>
        <v>133</v>
      </c>
      <c r="C26" s="13"/>
      <c r="D26" s="26">
        <v>133</v>
      </c>
      <c r="E26" s="26"/>
      <c r="F26" s="41"/>
      <c r="G26" s="47"/>
      <c r="H26" s="46" t="s">
        <v>4</v>
      </c>
      <c r="I26" s="69">
        <v>354</v>
      </c>
      <c r="J26" s="61">
        <v>6861.7</v>
      </c>
    </row>
    <row r="27" spans="1:10" s="12" customFormat="1" x14ac:dyDescent="0.25">
      <c r="A27" s="6">
        <v>0</v>
      </c>
      <c r="D27" s="26">
        <f>F27</f>
        <v>133</v>
      </c>
      <c r="E27" s="25"/>
      <c r="F27" s="42">
        <v>133</v>
      </c>
      <c r="G27" s="44" t="s">
        <v>75</v>
      </c>
      <c r="H27" s="53"/>
      <c r="I27" s="80">
        <f t="shared" ref="I27" si="5">ROUND(I28,0)</f>
        <v>554</v>
      </c>
      <c r="J27" s="79">
        <f>ROUND(J28,1)</f>
        <v>16911.900000000001</v>
      </c>
    </row>
    <row r="28" spans="1:10" s="12" customFormat="1" x14ac:dyDescent="0.25">
      <c r="A28" s="6">
        <v>0</v>
      </c>
      <c r="B28" s="13">
        <f>D28</f>
        <v>135</v>
      </c>
      <c r="C28" s="13"/>
      <c r="D28" s="26">
        <v>135</v>
      </c>
      <c r="E28" s="26"/>
      <c r="F28" s="41"/>
      <c r="G28" s="47"/>
      <c r="H28" s="46" t="s">
        <v>6</v>
      </c>
      <c r="I28" s="69">
        <f>635-31-50</f>
        <v>554</v>
      </c>
      <c r="J28" s="61">
        <f>23779.6-1000-5638.9-228.8</f>
        <v>16911.899999999998</v>
      </c>
    </row>
    <row r="29" spans="1:10" s="12" customFormat="1" x14ac:dyDescent="0.25">
      <c r="A29" s="6">
        <v>0</v>
      </c>
      <c r="D29" s="26">
        <f>F29</f>
        <v>135</v>
      </c>
      <c r="E29" s="25"/>
      <c r="F29" s="42">
        <v>135</v>
      </c>
      <c r="G29" s="44" t="s">
        <v>42</v>
      </c>
      <c r="H29" s="53"/>
      <c r="I29" s="80">
        <f t="shared" ref="I29" si="6">ROUND(I30,0)</f>
        <v>960</v>
      </c>
      <c r="J29" s="79">
        <f>ROUND(J30,1)</f>
        <v>21345.7</v>
      </c>
    </row>
    <row r="30" spans="1:10" s="12" customFormat="1" x14ac:dyDescent="0.25">
      <c r="A30" s="6">
        <v>0</v>
      </c>
      <c r="B30" s="13">
        <f>D30</f>
        <v>71</v>
      </c>
      <c r="C30" s="13"/>
      <c r="D30" s="26">
        <v>71</v>
      </c>
      <c r="E30" s="26"/>
      <c r="F30" s="41"/>
      <c r="G30" s="47"/>
      <c r="H30" s="46" t="s">
        <v>6</v>
      </c>
      <c r="I30" s="69">
        <f>1100-134-6</f>
        <v>960</v>
      </c>
      <c r="J30" s="61">
        <f>24508.1-3039.1-123.3</f>
        <v>21345.7</v>
      </c>
    </row>
    <row r="31" spans="1:10" s="12" customFormat="1" x14ac:dyDescent="0.25">
      <c r="A31" s="6">
        <v>0</v>
      </c>
      <c r="D31" s="26">
        <f>F31</f>
        <v>71</v>
      </c>
      <c r="E31" s="25"/>
      <c r="F31" s="42">
        <v>71</v>
      </c>
      <c r="G31" s="44" t="s">
        <v>28</v>
      </c>
      <c r="H31" s="53"/>
      <c r="I31" s="79">
        <f>SUM(I32:I39)</f>
        <v>907</v>
      </c>
      <c r="J31" s="79">
        <f>SUM(J32:J39)</f>
        <v>20787.2</v>
      </c>
    </row>
    <row r="32" spans="1:10" s="12" customFormat="1" x14ac:dyDescent="0.25">
      <c r="A32" s="6">
        <v>0</v>
      </c>
      <c r="B32" s="15"/>
      <c r="C32" s="15"/>
      <c r="D32" s="25">
        <f>D31</f>
        <v>71</v>
      </c>
      <c r="E32" s="25"/>
      <c r="F32" s="41"/>
      <c r="G32" s="47"/>
      <c r="H32" s="46" t="s">
        <v>76</v>
      </c>
      <c r="I32" s="69">
        <v>77</v>
      </c>
      <c r="J32" s="61">
        <v>1534.9</v>
      </c>
    </row>
    <row r="33" spans="1:10" s="12" customFormat="1" x14ac:dyDescent="0.25">
      <c r="A33" s="6">
        <v>0</v>
      </c>
      <c r="B33" s="15"/>
      <c r="C33" s="15"/>
      <c r="D33" s="25">
        <f t="shared" ref="D33" si="7">D32</f>
        <v>71</v>
      </c>
      <c r="E33" s="25"/>
      <c r="F33" s="41"/>
      <c r="G33" s="47"/>
      <c r="H33" s="46" t="s">
        <v>116</v>
      </c>
      <c r="I33" s="69">
        <v>60</v>
      </c>
      <c r="J33" s="61">
        <f>4932.2-327.4</f>
        <v>4604.8</v>
      </c>
    </row>
    <row r="34" spans="1:10" s="12" customFormat="1" ht="47.25" x14ac:dyDescent="0.25">
      <c r="A34" s="6">
        <v>0</v>
      </c>
      <c r="D34" s="25" t="e">
        <f>#REF!</f>
        <v>#REF!</v>
      </c>
      <c r="E34" s="25"/>
      <c r="F34" s="41"/>
      <c r="G34" s="47"/>
      <c r="H34" s="46" t="s">
        <v>71</v>
      </c>
      <c r="I34" s="69">
        <v>4</v>
      </c>
      <c r="J34" s="61">
        <v>60.1</v>
      </c>
    </row>
    <row r="35" spans="1:10" s="12" customFormat="1" ht="31.5" x14ac:dyDescent="0.25">
      <c r="A35" s="6">
        <v>0</v>
      </c>
      <c r="B35" s="13">
        <f>D35</f>
        <v>103</v>
      </c>
      <c r="C35" s="13"/>
      <c r="D35" s="26">
        <v>103</v>
      </c>
      <c r="E35" s="26"/>
      <c r="F35" s="41"/>
      <c r="G35" s="47"/>
      <c r="H35" s="46" t="s">
        <v>72</v>
      </c>
      <c r="I35" s="69">
        <v>44</v>
      </c>
      <c r="J35" s="61">
        <v>302.60000000000002</v>
      </c>
    </row>
    <row r="36" spans="1:10" s="12" customFormat="1" x14ac:dyDescent="0.25">
      <c r="A36" s="6">
        <v>0</v>
      </c>
      <c r="D36" s="25">
        <f t="shared" ref="D36:D42" si="8">D35</f>
        <v>103</v>
      </c>
      <c r="E36" s="25"/>
      <c r="F36" s="41"/>
      <c r="G36" s="47"/>
      <c r="H36" s="46" t="s">
        <v>7</v>
      </c>
      <c r="I36" s="69">
        <f>664-200</f>
        <v>464</v>
      </c>
      <c r="J36" s="61">
        <f>12982+327.4-4000</f>
        <v>9309.4</v>
      </c>
    </row>
    <row r="37" spans="1:10" s="12" customFormat="1" x14ac:dyDescent="0.25">
      <c r="A37" s="6"/>
      <c r="D37" s="25">
        <v>103</v>
      </c>
      <c r="E37" s="25"/>
      <c r="F37" s="41"/>
      <c r="G37" s="47"/>
      <c r="H37" s="46" t="s">
        <v>8</v>
      </c>
      <c r="I37" s="69">
        <v>200</v>
      </c>
      <c r="J37" s="61">
        <v>4000</v>
      </c>
    </row>
    <row r="38" spans="1:10" s="12" customFormat="1" x14ac:dyDescent="0.25">
      <c r="A38" s="6">
        <v>0</v>
      </c>
      <c r="D38" s="25">
        <f>D36</f>
        <v>103</v>
      </c>
      <c r="E38" s="25"/>
      <c r="F38" s="41"/>
      <c r="G38" s="47"/>
      <c r="H38" s="46" t="s">
        <v>6</v>
      </c>
      <c r="I38" s="69">
        <v>49</v>
      </c>
      <c r="J38" s="61">
        <v>824.8</v>
      </c>
    </row>
    <row r="39" spans="1:10" s="12" customFormat="1" x14ac:dyDescent="0.25">
      <c r="A39" s="6">
        <v>0</v>
      </c>
      <c r="D39" s="25">
        <f t="shared" si="8"/>
        <v>103</v>
      </c>
      <c r="E39" s="25"/>
      <c r="F39" s="41"/>
      <c r="G39" s="47"/>
      <c r="H39" s="46" t="s">
        <v>4</v>
      </c>
      <c r="I39" s="69">
        <v>9</v>
      </c>
      <c r="J39" s="61">
        <v>150.6</v>
      </c>
    </row>
    <row r="40" spans="1:10" s="12" customFormat="1" x14ac:dyDescent="0.25">
      <c r="A40" s="6">
        <v>0</v>
      </c>
      <c r="D40" s="26">
        <f>F40</f>
        <v>103</v>
      </c>
      <c r="E40" s="25"/>
      <c r="F40" s="42">
        <v>103</v>
      </c>
      <c r="G40" s="44" t="s">
        <v>29</v>
      </c>
      <c r="H40" s="53"/>
      <c r="I40" s="80">
        <f t="shared" ref="I40" si="9">ROUND(I41+I42+I43+I44+I45+I46,0)</f>
        <v>2275</v>
      </c>
      <c r="J40" s="79">
        <f>ROUND(J41+J42+J43+J44+J45+J46,1)</f>
        <v>56963.3</v>
      </c>
    </row>
    <row r="41" spans="1:10" s="12" customFormat="1" x14ac:dyDescent="0.25">
      <c r="A41" s="6">
        <v>0</v>
      </c>
      <c r="D41" s="25">
        <f t="shared" si="8"/>
        <v>103</v>
      </c>
      <c r="E41" s="25"/>
      <c r="F41" s="41"/>
      <c r="G41" s="47"/>
      <c r="H41" s="46" t="s">
        <v>17</v>
      </c>
      <c r="I41" s="69">
        <v>120</v>
      </c>
      <c r="J41" s="61">
        <v>1425.7</v>
      </c>
    </row>
    <row r="42" spans="1:10" s="12" customFormat="1" x14ac:dyDescent="0.25">
      <c r="A42" s="6">
        <v>0</v>
      </c>
      <c r="D42" s="25">
        <f t="shared" si="8"/>
        <v>103</v>
      </c>
      <c r="E42" s="25"/>
      <c r="F42" s="41"/>
      <c r="G42" s="47"/>
      <c r="H42" s="46" t="s">
        <v>9</v>
      </c>
      <c r="I42" s="69">
        <v>125</v>
      </c>
      <c r="J42" s="61">
        <f>2698.6-82.6</f>
        <v>2616</v>
      </c>
    </row>
    <row r="43" spans="1:10" s="12" customFormat="1" x14ac:dyDescent="0.25">
      <c r="A43" s="6">
        <v>0</v>
      </c>
      <c r="B43" s="13">
        <f>D43</f>
        <v>73</v>
      </c>
      <c r="C43" s="13"/>
      <c r="D43" s="26">
        <v>73</v>
      </c>
      <c r="E43" s="26"/>
      <c r="F43" s="41"/>
      <c r="G43" s="47"/>
      <c r="H43" s="46" t="s">
        <v>7</v>
      </c>
      <c r="I43" s="69">
        <v>1690</v>
      </c>
      <c r="J43" s="61">
        <f>47185.8+82.6</f>
        <v>47268.4</v>
      </c>
    </row>
    <row r="44" spans="1:10" s="12" customFormat="1" ht="47.25" x14ac:dyDescent="0.25">
      <c r="A44" s="6">
        <v>0</v>
      </c>
      <c r="D44" s="25">
        <f t="shared" ref="D44:D49" si="10">D43</f>
        <v>73</v>
      </c>
      <c r="E44" s="25"/>
      <c r="F44" s="41"/>
      <c r="G44" s="47"/>
      <c r="H44" s="46" t="s">
        <v>71</v>
      </c>
      <c r="I44" s="69">
        <v>152</v>
      </c>
      <c r="J44" s="61">
        <v>3051.7999999999997</v>
      </c>
    </row>
    <row r="45" spans="1:10" s="12" customFormat="1" ht="31.5" x14ac:dyDescent="0.25">
      <c r="A45" s="6">
        <v>0</v>
      </c>
      <c r="D45" s="25">
        <f t="shared" si="10"/>
        <v>73</v>
      </c>
      <c r="E45" s="25"/>
      <c r="F45" s="41"/>
      <c r="G45" s="47"/>
      <c r="H45" s="46" t="s">
        <v>72</v>
      </c>
      <c r="I45" s="69">
        <v>152</v>
      </c>
      <c r="J45" s="61">
        <v>1562.7</v>
      </c>
    </row>
    <row r="46" spans="1:10" s="12" customFormat="1" x14ac:dyDescent="0.25">
      <c r="A46" s="6">
        <v>0</v>
      </c>
      <c r="D46" s="25">
        <f t="shared" si="10"/>
        <v>73</v>
      </c>
      <c r="E46" s="25"/>
      <c r="F46" s="41"/>
      <c r="G46" s="47"/>
      <c r="H46" s="46" t="s">
        <v>6</v>
      </c>
      <c r="I46" s="69">
        <v>36</v>
      </c>
      <c r="J46" s="61">
        <v>1038.7</v>
      </c>
    </row>
    <row r="47" spans="1:10" s="12" customFormat="1" x14ac:dyDescent="0.25">
      <c r="A47" s="6">
        <v>0</v>
      </c>
      <c r="D47" s="26">
        <f>F47</f>
        <v>73</v>
      </c>
      <c r="E47" s="25"/>
      <c r="F47" s="42">
        <v>73</v>
      </c>
      <c r="G47" s="44" t="s">
        <v>30</v>
      </c>
      <c r="H47" s="53"/>
      <c r="I47" s="80">
        <f>SUM(I48:I52)</f>
        <v>872</v>
      </c>
      <c r="J47" s="79">
        <f>SUM(J48:J52)</f>
        <v>22668.5</v>
      </c>
    </row>
    <row r="48" spans="1:10" s="12" customFormat="1" ht="47.25" x14ac:dyDescent="0.25">
      <c r="A48" s="6">
        <v>0</v>
      </c>
      <c r="D48" s="25">
        <f t="shared" si="10"/>
        <v>73</v>
      </c>
      <c r="E48" s="25"/>
      <c r="F48" s="41"/>
      <c r="G48" s="47"/>
      <c r="H48" s="46" t="s">
        <v>71</v>
      </c>
      <c r="I48" s="69">
        <v>15</v>
      </c>
      <c r="J48" s="61">
        <v>293.89999999999998</v>
      </c>
    </row>
    <row r="49" spans="1:10" s="12" customFormat="1" ht="31.5" x14ac:dyDescent="0.25">
      <c r="A49" s="6">
        <v>0</v>
      </c>
      <c r="D49" s="25">
        <f t="shared" si="10"/>
        <v>73</v>
      </c>
      <c r="E49" s="25"/>
      <c r="F49" s="41"/>
      <c r="G49" s="47"/>
      <c r="H49" s="46" t="s">
        <v>72</v>
      </c>
      <c r="I49" s="69">
        <v>5</v>
      </c>
      <c r="J49" s="61">
        <v>45.1</v>
      </c>
    </row>
    <row r="50" spans="1:10" s="12" customFormat="1" x14ac:dyDescent="0.25">
      <c r="A50" s="6">
        <v>0</v>
      </c>
      <c r="D50" s="25" t="e">
        <f>#REF!</f>
        <v>#REF!</v>
      </c>
      <c r="E50" s="25"/>
      <c r="F50" s="41"/>
      <c r="G50" s="47"/>
      <c r="H50" s="46" t="s">
        <v>6</v>
      </c>
      <c r="I50" s="69">
        <v>9</v>
      </c>
      <c r="J50" s="61">
        <v>227.1</v>
      </c>
    </row>
    <row r="51" spans="1:10" s="12" customFormat="1" x14ac:dyDescent="0.25">
      <c r="A51" s="6">
        <v>0</v>
      </c>
      <c r="D51" s="25" t="e">
        <f t="shared" ref="D51" si="11">D50</f>
        <v>#REF!</v>
      </c>
      <c r="E51" s="25"/>
      <c r="F51" s="41"/>
      <c r="G51" s="47"/>
      <c r="H51" s="46" t="s">
        <v>7</v>
      </c>
      <c r="I51" s="69">
        <v>468</v>
      </c>
      <c r="J51" s="61">
        <v>12191</v>
      </c>
    </row>
    <row r="52" spans="1:10" s="12" customFormat="1" x14ac:dyDescent="0.25">
      <c r="A52" s="6">
        <v>0</v>
      </c>
      <c r="B52" s="13">
        <f>D52</f>
        <v>275</v>
      </c>
      <c r="C52" s="13"/>
      <c r="D52" s="26">
        <v>275</v>
      </c>
      <c r="E52" s="26"/>
      <c r="F52" s="41"/>
      <c r="G52" s="47"/>
      <c r="H52" s="48" t="s">
        <v>8</v>
      </c>
      <c r="I52" s="69">
        <v>375</v>
      </c>
      <c r="J52" s="61">
        <v>9911.4</v>
      </c>
    </row>
    <row r="53" spans="1:10" s="12" customFormat="1" x14ac:dyDescent="0.25">
      <c r="A53" s="6">
        <v>0</v>
      </c>
      <c r="D53" s="26">
        <f>F53</f>
        <v>35</v>
      </c>
      <c r="E53" s="25"/>
      <c r="F53" s="42">
        <v>35</v>
      </c>
      <c r="G53" s="44" t="s">
        <v>78</v>
      </c>
      <c r="H53" s="53"/>
      <c r="I53" s="80">
        <f t="shared" ref="I53" si="12">ROUND(I54+I55,0)</f>
        <v>1166</v>
      </c>
      <c r="J53" s="79">
        <f>ROUND(J54+J55,1)</f>
        <v>25730.5</v>
      </c>
    </row>
    <row r="54" spans="1:10" s="12" customFormat="1" x14ac:dyDescent="0.25">
      <c r="A54" s="6">
        <v>0</v>
      </c>
      <c r="B54" s="13">
        <f>D54</f>
        <v>49</v>
      </c>
      <c r="C54" s="13"/>
      <c r="D54" s="26">
        <v>49</v>
      </c>
      <c r="E54" s="26"/>
      <c r="F54" s="41"/>
      <c r="G54" s="47"/>
      <c r="H54" s="46" t="s">
        <v>7</v>
      </c>
      <c r="I54" s="69">
        <v>525</v>
      </c>
      <c r="J54" s="61">
        <v>10024</v>
      </c>
    </row>
    <row r="55" spans="1:10" s="12" customFormat="1" x14ac:dyDescent="0.25">
      <c r="A55" s="6">
        <v>0</v>
      </c>
      <c r="D55" s="25">
        <f t="shared" ref="D55" si="13">D54</f>
        <v>49</v>
      </c>
      <c r="E55" s="25"/>
      <c r="F55" s="41"/>
      <c r="G55" s="47"/>
      <c r="H55" s="46" t="s">
        <v>13</v>
      </c>
      <c r="I55" s="69">
        <v>641</v>
      </c>
      <c r="J55" s="61">
        <v>15706.5</v>
      </c>
    </row>
    <row r="56" spans="1:10" s="12" customFormat="1" x14ac:dyDescent="0.25">
      <c r="A56" s="6">
        <v>0</v>
      </c>
      <c r="D56" s="26">
        <f>F56</f>
        <v>275</v>
      </c>
      <c r="E56" s="25"/>
      <c r="F56" s="42">
        <v>275</v>
      </c>
      <c r="G56" s="44" t="s">
        <v>79</v>
      </c>
      <c r="H56" s="53"/>
      <c r="I56" s="80">
        <f t="shared" ref="I56" si="14">ROUND(I57,0)</f>
        <v>561</v>
      </c>
      <c r="J56" s="79">
        <f>ROUND(J57,1)</f>
        <v>11453.1</v>
      </c>
    </row>
    <row r="57" spans="1:10" s="12" customFormat="1" x14ac:dyDescent="0.25">
      <c r="A57" s="6">
        <v>0</v>
      </c>
      <c r="B57" s="13">
        <f>D57</f>
        <v>146</v>
      </c>
      <c r="C57" s="13"/>
      <c r="D57" s="26">
        <v>146</v>
      </c>
      <c r="E57" s="26"/>
      <c r="F57" s="41"/>
      <c r="G57" s="47"/>
      <c r="H57" s="46" t="s">
        <v>7</v>
      </c>
      <c r="I57" s="69">
        <v>561</v>
      </c>
      <c r="J57" s="61">
        <v>11453.1</v>
      </c>
    </row>
    <row r="58" spans="1:10" s="12" customFormat="1" x14ac:dyDescent="0.25">
      <c r="A58" s="6">
        <v>0</v>
      </c>
      <c r="D58" s="26">
        <f>F58</f>
        <v>146</v>
      </c>
      <c r="E58" s="25"/>
      <c r="F58" s="42">
        <v>146</v>
      </c>
      <c r="G58" s="44" t="s">
        <v>33</v>
      </c>
      <c r="H58" s="53"/>
      <c r="I58" s="80">
        <f t="shared" ref="I58" si="15">ROUND(I59+I60,0)</f>
        <v>1150</v>
      </c>
      <c r="J58" s="79">
        <f>ROUND(J59+J60,1)</f>
        <v>26064.9</v>
      </c>
    </row>
    <row r="59" spans="1:10" s="12" customFormat="1" x14ac:dyDescent="0.25">
      <c r="A59" s="6">
        <v>0</v>
      </c>
      <c r="D59" s="25">
        <f>D58</f>
        <v>146</v>
      </c>
      <c r="E59" s="25"/>
      <c r="F59" s="41"/>
      <c r="G59" s="47"/>
      <c r="H59" s="46" t="s">
        <v>80</v>
      </c>
      <c r="I59" s="69">
        <f>250+670</f>
        <v>920</v>
      </c>
      <c r="J59" s="61">
        <f>3783.1+937.9+13400</f>
        <v>18121</v>
      </c>
    </row>
    <row r="60" spans="1:10" s="12" customFormat="1" x14ac:dyDescent="0.25">
      <c r="A60" s="6">
        <v>0</v>
      </c>
      <c r="B60" s="13">
        <f>D60</f>
        <v>292</v>
      </c>
      <c r="C60" s="13"/>
      <c r="D60" s="26">
        <v>292</v>
      </c>
      <c r="E60" s="26"/>
      <c r="F60" s="41"/>
      <c r="G60" s="47"/>
      <c r="H60" s="46" t="s">
        <v>6</v>
      </c>
      <c r="I60" s="69">
        <f>900-670</f>
        <v>230</v>
      </c>
      <c r="J60" s="61">
        <f>22281.8-937.9-13400</f>
        <v>7943.8999999999978</v>
      </c>
    </row>
    <row r="61" spans="1:10" s="12" customFormat="1" x14ac:dyDescent="0.25">
      <c r="A61" s="6">
        <v>0</v>
      </c>
      <c r="D61" s="26">
        <f>F61</f>
        <v>292</v>
      </c>
      <c r="E61" s="25"/>
      <c r="F61" s="42">
        <v>292</v>
      </c>
      <c r="G61" s="44" t="s">
        <v>81</v>
      </c>
      <c r="H61" s="53"/>
      <c r="I61" s="80">
        <f t="shared" ref="I61" si="16">ROUND(I62+I63,0)</f>
        <v>900</v>
      </c>
      <c r="J61" s="79">
        <f>ROUND(J62+J63,1)</f>
        <v>74853.7</v>
      </c>
    </row>
    <row r="62" spans="1:10" s="12" customFormat="1" ht="47.25" x14ac:dyDescent="0.25">
      <c r="A62" s="6">
        <v>0</v>
      </c>
      <c r="D62" s="25">
        <f t="shared" ref="D62" si="17">D61</f>
        <v>292</v>
      </c>
      <c r="E62" s="25"/>
      <c r="F62" s="41"/>
      <c r="G62" s="47"/>
      <c r="H62" s="46" t="s">
        <v>71</v>
      </c>
      <c r="I62" s="69">
        <v>300</v>
      </c>
      <c r="J62" s="61">
        <f>4748.7+980.7</f>
        <v>5729.4</v>
      </c>
    </row>
    <row r="63" spans="1:10" s="12" customFormat="1" ht="31.5" x14ac:dyDescent="0.25">
      <c r="A63" s="6">
        <v>0</v>
      </c>
      <c r="B63" s="13">
        <f>D63</f>
        <v>10</v>
      </c>
      <c r="C63" s="13"/>
      <c r="D63" s="26">
        <v>10</v>
      </c>
      <c r="E63" s="26"/>
      <c r="F63" s="41"/>
      <c r="G63" s="47"/>
      <c r="H63" s="46" t="s">
        <v>82</v>
      </c>
      <c r="I63" s="69">
        <v>600</v>
      </c>
      <c r="J63" s="61">
        <f>70105-980.7</f>
        <v>69124.3</v>
      </c>
    </row>
    <row r="64" spans="1:10" s="12" customFormat="1" x14ac:dyDescent="0.25">
      <c r="A64" s="6">
        <v>0</v>
      </c>
      <c r="D64" s="26">
        <f>F64</f>
        <v>10</v>
      </c>
      <c r="E64" s="25"/>
      <c r="F64" s="42">
        <v>10</v>
      </c>
      <c r="G64" s="44" t="s">
        <v>83</v>
      </c>
      <c r="H64" s="53"/>
      <c r="I64" s="80">
        <f t="shared" ref="I64" si="18">ROUND(I65+I66,0)</f>
        <v>3000</v>
      </c>
      <c r="J64" s="79">
        <f>ROUND(J65+J66,1)</f>
        <v>63111.199999999997</v>
      </c>
    </row>
    <row r="65" spans="1:10" s="12" customFormat="1" x14ac:dyDescent="0.25">
      <c r="A65" s="6">
        <v>0</v>
      </c>
      <c r="D65" s="25">
        <f t="shared" ref="D65" si="19">D64</f>
        <v>10</v>
      </c>
      <c r="E65" s="25"/>
      <c r="F65" s="41"/>
      <c r="G65" s="47"/>
      <c r="H65" s="46" t="s">
        <v>7</v>
      </c>
      <c r="I65" s="69">
        <f>1800+200</f>
        <v>2000</v>
      </c>
      <c r="J65" s="61">
        <f>36813.4+4105.6</f>
        <v>40919</v>
      </c>
    </row>
    <row r="66" spans="1:10" s="12" customFormat="1" x14ac:dyDescent="0.25">
      <c r="A66" s="6">
        <v>0</v>
      </c>
      <c r="B66" s="13">
        <f>D66</f>
        <v>4</v>
      </c>
      <c r="C66" s="13"/>
      <c r="D66" s="26">
        <v>4</v>
      </c>
      <c r="E66" s="26"/>
      <c r="F66" s="41"/>
      <c r="G66" s="47"/>
      <c r="H66" s="46" t="s">
        <v>4</v>
      </c>
      <c r="I66" s="69">
        <v>1000</v>
      </c>
      <c r="J66" s="61">
        <v>22192.2</v>
      </c>
    </row>
    <row r="67" spans="1:10" s="12" customFormat="1" x14ac:dyDescent="0.25">
      <c r="A67" s="6">
        <v>0</v>
      </c>
      <c r="D67" s="26">
        <f>F67</f>
        <v>4</v>
      </c>
      <c r="E67" s="25"/>
      <c r="F67" s="42">
        <v>4</v>
      </c>
      <c r="G67" s="44" t="s">
        <v>84</v>
      </c>
      <c r="H67" s="53"/>
      <c r="I67" s="80">
        <f t="shared" ref="I67" si="20">ROUND(I68,0)</f>
        <v>2532</v>
      </c>
      <c r="J67" s="79">
        <f>ROUND(J68,1)</f>
        <v>51683.7</v>
      </c>
    </row>
    <row r="68" spans="1:10" s="12" customFormat="1" x14ac:dyDescent="0.25">
      <c r="A68" s="6">
        <v>0</v>
      </c>
      <c r="B68" s="13">
        <f>D68</f>
        <v>142</v>
      </c>
      <c r="C68" s="13"/>
      <c r="D68" s="26">
        <v>142</v>
      </c>
      <c r="E68" s="26"/>
      <c r="F68" s="41"/>
      <c r="G68" s="47"/>
      <c r="H68" s="46" t="s">
        <v>7</v>
      </c>
      <c r="I68" s="69">
        <v>2532</v>
      </c>
      <c r="J68" s="61">
        <v>51683.700000000004</v>
      </c>
    </row>
    <row r="69" spans="1:10" s="12" customFormat="1" x14ac:dyDescent="0.25">
      <c r="A69" s="6">
        <v>0</v>
      </c>
      <c r="D69" s="26">
        <f>F69</f>
        <v>142</v>
      </c>
      <c r="E69" s="25"/>
      <c r="F69" s="42">
        <v>142</v>
      </c>
      <c r="G69" s="44" t="s">
        <v>43</v>
      </c>
      <c r="H69" s="53"/>
      <c r="I69" s="80">
        <f t="shared" ref="I69" si="21">ROUND(I70+I71,0)</f>
        <v>3050</v>
      </c>
      <c r="J69" s="79">
        <f>ROUND(J70+J71,1)</f>
        <v>40775.4</v>
      </c>
    </row>
    <row r="70" spans="1:10" s="12" customFormat="1" ht="47.25" x14ac:dyDescent="0.25">
      <c r="A70" s="6">
        <v>0</v>
      </c>
      <c r="D70" s="25">
        <f t="shared" ref="D70" si="22">D69</f>
        <v>142</v>
      </c>
      <c r="E70" s="25"/>
      <c r="F70" s="41"/>
      <c r="G70" s="47"/>
      <c r="H70" s="46" t="s">
        <v>71</v>
      </c>
      <c r="I70" s="69">
        <v>2850</v>
      </c>
      <c r="J70" s="61">
        <v>39411.599999999999</v>
      </c>
    </row>
    <row r="71" spans="1:10" s="12" customFormat="1" ht="31.5" x14ac:dyDescent="0.25">
      <c r="A71" s="6">
        <v>0</v>
      </c>
      <c r="B71" s="13">
        <f>D71</f>
        <v>129</v>
      </c>
      <c r="C71" s="13"/>
      <c r="D71" s="26">
        <v>129</v>
      </c>
      <c r="E71" s="26"/>
      <c r="F71" s="41"/>
      <c r="G71" s="47"/>
      <c r="H71" s="46" t="s">
        <v>72</v>
      </c>
      <c r="I71" s="69">
        <v>200</v>
      </c>
      <c r="J71" s="61">
        <v>1363.8</v>
      </c>
    </row>
    <row r="72" spans="1:10" s="12" customFormat="1" x14ac:dyDescent="0.25">
      <c r="A72" s="6">
        <v>0</v>
      </c>
      <c r="D72" s="26">
        <f>F72</f>
        <v>129</v>
      </c>
      <c r="E72" s="25"/>
      <c r="F72" s="42">
        <v>129</v>
      </c>
      <c r="G72" s="44" t="s">
        <v>36</v>
      </c>
      <c r="H72" s="53"/>
      <c r="I72" s="80">
        <f t="shared" ref="I72" si="23">ROUND(I73+I74,0)</f>
        <v>3600</v>
      </c>
      <c r="J72" s="79">
        <f>ROUND(J73+J74,1)</f>
        <v>48021.599999999999</v>
      </c>
    </row>
    <row r="73" spans="1:10" s="12" customFormat="1" ht="47.25" x14ac:dyDescent="0.25">
      <c r="A73" s="6">
        <v>0</v>
      </c>
      <c r="D73" s="25">
        <f t="shared" ref="D73" si="24">D72</f>
        <v>129</v>
      </c>
      <c r="E73" s="25"/>
      <c r="F73" s="41"/>
      <c r="G73" s="47"/>
      <c r="H73" s="46" t="s">
        <v>71</v>
      </c>
      <c r="I73" s="69">
        <v>3184</v>
      </c>
      <c r="J73" s="61">
        <v>45160.899999999994</v>
      </c>
    </row>
    <row r="74" spans="1:10" s="12" customFormat="1" ht="32.25" customHeight="1" x14ac:dyDescent="0.25">
      <c r="A74" s="6">
        <v>0</v>
      </c>
      <c r="B74" s="13">
        <f>D74</f>
        <v>231</v>
      </c>
      <c r="C74" s="13"/>
      <c r="D74" s="26">
        <v>231</v>
      </c>
      <c r="E74" s="26"/>
      <c r="F74" s="41"/>
      <c r="G74" s="47"/>
      <c r="H74" s="46" t="s">
        <v>72</v>
      </c>
      <c r="I74" s="69">
        <v>416</v>
      </c>
      <c r="J74" s="61">
        <v>2860.7</v>
      </c>
    </row>
    <row r="75" spans="1:10" s="12" customFormat="1" x14ac:dyDescent="0.25">
      <c r="A75" s="6">
        <v>0</v>
      </c>
      <c r="D75" s="26">
        <f>F75</f>
        <v>231</v>
      </c>
      <c r="E75" s="25"/>
      <c r="F75" s="42">
        <v>231</v>
      </c>
      <c r="G75" s="44" t="s">
        <v>85</v>
      </c>
      <c r="H75" s="53"/>
      <c r="I75" s="80">
        <f>ROUND(I76+I77+I78+I80+I79,0)</f>
        <v>1429</v>
      </c>
      <c r="J75" s="79">
        <f>ROUND(J76+J77+J78+J80+J79,1)</f>
        <v>29894.9</v>
      </c>
    </row>
    <row r="76" spans="1:10" s="12" customFormat="1" ht="31.5" x14ac:dyDescent="0.25">
      <c r="A76" s="6">
        <v>0</v>
      </c>
      <c r="D76" s="25">
        <f t="shared" ref="D76:D78" si="25">D75</f>
        <v>231</v>
      </c>
      <c r="E76" s="25"/>
      <c r="F76" s="41"/>
      <c r="G76" s="47"/>
      <c r="H76" s="46" t="s">
        <v>72</v>
      </c>
      <c r="I76" s="69">
        <v>45</v>
      </c>
      <c r="J76" s="61">
        <v>289.5</v>
      </c>
    </row>
    <row r="77" spans="1:10" s="12" customFormat="1" x14ac:dyDescent="0.25">
      <c r="A77" s="6">
        <v>0</v>
      </c>
      <c r="D77" s="25">
        <f>D76</f>
        <v>231</v>
      </c>
      <c r="E77" s="25"/>
      <c r="F77" s="41"/>
      <c r="G77" s="47"/>
      <c r="H77" s="46" t="s">
        <v>8</v>
      </c>
      <c r="I77" s="69">
        <v>248</v>
      </c>
      <c r="J77" s="61">
        <v>5256.4</v>
      </c>
    </row>
    <row r="78" spans="1:10" s="12" customFormat="1" x14ac:dyDescent="0.25">
      <c r="A78" s="6">
        <v>0</v>
      </c>
      <c r="D78" s="25">
        <f t="shared" si="25"/>
        <v>231</v>
      </c>
      <c r="E78" s="25"/>
      <c r="F78" s="41"/>
      <c r="G78" s="47"/>
      <c r="H78" s="46" t="s">
        <v>4</v>
      </c>
      <c r="I78" s="69">
        <v>18</v>
      </c>
      <c r="J78" s="61">
        <v>363.3</v>
      </c>
    </row>
    <row r="79" spans="1:10" s="12" customFormat="1" x14ac:dyDescent="0.25">
      <c r="A79" s="6"/>
      <c r="D79" s="25"/>
      <c r="E79" s="25"/>
      <c r="F79" s="41"/>
      <c r="G79" s="47"/>
      <c r="H79" s="46" t="s">
        <v>6</v>
      </c>
      <c r="I79" s="69">
        <v>40</v>
      </c>
      <c r="J79" s="61">
        <v>860</v>
      </c>
    </row>
    <row r="80" spans="1:10" s="12" customFormat="1" x14ac:dyDescent="0.25">
      <c r="A80" s="6">
        <v>0</v>
      </c>
      <c r="B80" s="13">
        <f>D80</f>
        <v>115</v>
      </c>
      <c r="C80" s="13"/>
      <c r="D80" s="26">
        <v>115</v>
      </c>
      <c r="E80" s="26"/>
      <c r="F80" s="41"/>
      <c r="G80" s="47"/>
      <c r="H80" s="46" t="s">
        <v>7</v>
      </c>
      <c r="I80" s="69">
        <f>1118-40</f>
        <v>1078</v>
      </c>
      <c r="J80" s="61">
        <f>23985.7-860</f>
        <v>23125.7</v>
      </c>
    </row>
    <row r="81" spans="1:10" s="12" customFormat="1" x14ac:dyDescent="0.25">
      <c r="A81" s="6">
        <v>0</v>
      </c>
      <c r="D81" s="26">
        <f>F81</f>
        <v>115</v>
      </c>
      <c r="E81" s="25"/>
      <c r="F81" s="42">
        <v>115</v>
      </c>
      <c r="G81" s="44" t="s">
        <v>86</v>
      </c>
      <c r="H81" s="53"/>
      <c r="I81" s="80">
        <f t="shared" ref="I81" si="26">ROUND(I82+I83+I84+I85+I86+I87+I88+I89+I90+I91+I92,0)</f>
        <v>2037</v>
      </c>
      <c r="J81" s="79">
        <f>ROUND(J82+J83+J84+J85+J86+J87+J88+J89+J90+J91+J92,1)</f>
        <v>57556.6</v>
      </c>
    </row>
    <row r="82" spans="1:10" s="12" customFormat="1" ht="47.25" x14ac:dyDescent="0.25">
      <c r="A82" s="6">
        <v>0</v>
      </c>
      <c r="D82" s="25">
        <f t="shared" ref="D82:D89" si="27">D81</f>
        <v>115</v>
      </c>
      <c r="E82" s="25"/>
      <c r="F82" s="41"/>
      <c r="G82" s="47"/>
      <c r="H82" s="46" t="s">
        <v>71</v>
      </c>
      <c r="I82" s="69">
        <v>331</v>
      </c>
      <c r="J82" s="61">
        <v>5863.2</v>
      </c>
    </row>
    <row r="83" spans="1:10" s="12" customFormat="1" ht="31.5" x14ac:dyDescent="0.25">
      <c r="A83" s="6">
        <v>0</v>
      </c>
      <c r="D83" s="25">
        <f t="shared" si="27"/>
        <v>115</v>
      </c>
      <c r="E83" s="25"/>
      <c r="F83" s="41"/>
      <c r="G83" s="47"/>
      <c r="H83" s="46" t="s">
        <v>72</v>
      </c>
      <c r="I83" s="69">
        <v>43</v>
      </c>
      <c r="J83" s="61">
        <v>390.8</v>
      </c>
    </row>
    <row r="84" spans="1:10" s="12" customFormat="1" x14ac:dyDescent="0.25">
      <c r="A84" s="6">
        <v>0</v>
      </c>
      <c r="D84" s="25">
        <f t="shared" si="27"/>
        <v>115</v>
      </c>
      <c r="E84" s="25"/>
      <c r="F84" s="41"/>
      <c r="G84" s="47"/>
      <c r="H84" s="46" t="s">
        <v>11</v>
      </c>
      <c r="I84" s="69">
        <v>255</v>
      </c>
      <c r="J84" s="61">
        <v>6096.7</v>
      </c>
    </row>
    <row r="85" spans="1:10" s="12" customFormat="1" x14ac:dyDescent="0.25">
      <c r="A85" s="6">
        <v>0</v>
      </c>
      <c r="C85" s="12">
        <f>D85</f>
        <v>115</v>
      </c>
      <c r="D85" s="25">
        <f>D84</f>
        <v>115</v>
      </c>
      <c r="E85" s="25"/>
      <c r="F85" s="41"/>
      <c r="G85" s="47"/>
      <c r="H85" s="46" t="s">
        <v>8</v>
      </c>
      <c r="I85" s="69">
        <v>247</v>
      </c>
      <c r="J85" s="61">
        <v>6269.2</v>
      </c>
    </row>
    <row r="86" spans="1:10" s="12" customFormat="1" x14ac:dyDescent="0.25">
      <c r="A86" s="6">
        <v>0</v>
      </c>
      <c r="D86" s="25">
        <f t="shared" si="27"/>
        <v>115</v>
      </c>
      <c r="E86" s="25"/>
      <c r="F86" s="41"/>
      <c r="G86" s="47"/>
      <c r="H86" s="46" t="s">
        <v>12</v>
      </c>
      <c r="I86" s="69">
        <v>64</v>
      </c>
      <c r="J86" s="61">
        <f>306.5+160.4</f>
        <v>466.9</v>
      </c>
    </row>
    <row r="87" spans="1:10" s="12" customFormat="1" x14ac:dyDescent="0.25">
      <c r="A87" s="6">
        <v>0</v>
      </c>
      <c r="D87" s="25">
        <f t="shared" si="27"/>
        <v>115</v>
      </c>
      <c r="E87" s="25"/>
      <c r="F87" s="41"/>
      <c r="G87" s="47"/>
      <c r="H87" s="46" t="s">
        <v>6</v>
      </c>
      <c r="I87" s="69">
        <v>103</v>
      </c>
      <c r="J87" s="61">
        <v>2760.1</v>
      </c>
    </row>
    <row r="88" spans="1:10" s="12" customFormat="1" x14ac:dyDescent="0.25">
      <c r="A88" s="6">
        <v>0</v>
      </c>
      <c r="D88" s="25">
        <f t="shared" si="27"/>
        <v>115</v>
      </c>
      <c r="E88" s="25"/>
      <c r="F88" s="41"/>
      <c r="G88" s="47"/>
      <c r="H88" s="46" t="s">
        <v>7</v>
      </c>
      <c r="I88" s="69">
        <v>578</v>
      </c>
      <c r="J88" s="61">
        <f>15280.3+111.7</f>
        <v>15392</v>
      </c>
    </row>
    <row r="89" spans="1:10" s="12" customFormat="1" x14ac:dyDescent="0.25">
      <c r="A89" s="6">
        <v>0</v>
      </c>
      <c r="D89" s="25">
        <f t="shared" si="27"/>
        <v>115</v>
      </c>
      <c r="E89" s="25"/>
      <c r="F89" s="41"/>
      <c r="G89" s="47"/>
      <c r="H89" s="46" t="s">
        <v>4</v>
      </c>
      <c r="I89" s="69">
        <v>117</v>
      </c>
      <c r="J89" s="61">
        <v>2890.4</v>
      </c>
    </row>
    <row r="90" spans="1:10" s="12" customFormat="1" x14ac:dyDescent="0.25">
      <c r="A90" s="6">
        <v>0</v>
      </c>
      <c r="B90" s="13">
        <f>D90</f>
        <v>144</v>
      </c>
      <c r="C90" s="13"/>
      <c r="D90" s="26">
        <v>144</v>
      </c>
      <c r="E90" s="26"/>
      <c r="F90" s="41"/>
      <c r="G90" s="47"/>
      <c r="H90" s="46" t="s">
        <v>76</v>
      </c>
      <c r="I90" s="69">
        <v>127</v>
      </c>
      <c r="J90" s="61">
        <v>3249.3</v>
      </c>
    </row>
    <row r="91" spans="1:10" s="12" customFormat="1" x14ac:dyDescent="0.25">
      <c r="A91" s="6">
        <v>0</v>
      </c>
      <c r="D91" s="25">
        <f t="shared" ref="D91:D92" si="28">D90</f>
        <v>144</v>
      </c>
      <c r="E91" s="25"/>
      <c r="F91" s="41"/>
      <c r="G91" s="47"/>
      <c r="H91" s="46" t="s">
        <v>116</v>
      </c>
      <c r="I91" s="69">
        <v>160</v>
      </c>
      <c r="J91" s="61">
        <f>12608-272.1</f>
        <v>12335.9</v>
      </c>
    </row>
    <row r="92" spans="1:10" s="12" customFormat="1" x14ac:dyDescent="0.25">
      <c r="A92" s="6">
        <v>0</v>
      </c>
      <c r="D92" s="25">
        <f t="shared" si="28"/>
        <v>144</v>
      </c>
      <c r="E92" s="25"/>
      <c r="F92" s="41"/>
      <c r="G92" s="47"/>
      <c r="H92" s="46" t="s">
        <v>117</v>
      </c>
      <c r="I92" s="69">
        <v>12</v>
      </c>
      <c r="J92" s="61">
        <v>1842.1</v>
      </c>
    </row>
    <row r="93" spans="1:10" s="12" customFormat="1" x14ac:dyDescent="0.25">
      <c r="A93" s="6">
        <v>0</v>
      </c>
      <c r="D93" s="26">
        <f>F93</f>
        <v>144</v>
      </c>
      <c r="E93" s="25"/>
      <c r="F93" s="42">
        <v>144</v>
      </c>
      <c r="G93" s="44" t="s">
        <v>87</v>
      </c>
      <c r="H93" s="53"/>
      <c r="I93" s="81">
        <f t="shared" ref="I93" si="29">ROUND(I94+I95+I96+I97,0)</f>
        <v>2048</v>
      </c>
      <c r="J93" s="32">
        <f>ROUND(J94+J95+J96+J97,1)</f>
        <v>80925.8</v>
      </c>
    </row>
    <row r="94" spans="1:10" s="12" customFormat="1" x14ac:dyDescent="0.25">
      <c r="A94" s="6"/>
      <c r="D94" s="25">
        <f>D93</f>
        <v>144</v>
      </c>
      <c r="E94" s="25"/>
      <c r="F94" s="41"/>
      <c r="G94" s="47"/>
      <c r="H94" s="46" t="s">
        <v>111</v>
      </c>
      <c r="I94" s="69">
        <v>186</v>
      </c>
      <c r="J94" s="61">
        <v>24637.8</v>
      </c>
    </row>
    <row r="95" spans="1:10" s="12" customFormat="1" x14ac:dyDescent="0.25">
      <c r="A95" s="6">
        <v>0</v>
      </c>
      <c r="B95" s="13">
        <f>D95</f>
        <v>83</v>
      </c>
      <c r="C95" s="13"/>
      <c r="D95" s="26">
        <v>83</v>
      </c>
      <c r="E95" s="26"/>
      <c r="F95" s="41"/>
      <c r="G95" s="47"/>
      <c r="H95" s="46" t="s">
        <v>15</v>
      </c>
      <c r="I95" s="69">
        <v>1132</v>
      </c>
      <c r="J95" s="61">
        <v>41088.1</v>
      </c>
    </row>
    <row r="96" spans="1:10" s="12" customFormat="1" x14ac:dyDescent="0.25">
      <c r="A96" s="6">
        <v>0</v>
      </c>
      <c r="D96" s="25">
        <f>D95</f>
        <v>83</v>
      </c>
      <c r="E96" s="25"/>
      <c r="F96" s="41"/>
      <c r="G96" s="47"/>
      <c r="H96" s="46" t="s">
        <v>18</v>
      </c>
      <c r="I96" s="69">
        <v>280</v>
      </c>
      <c r="J96" s="61">
        <v>5600.8</v>
      </c>
    </row>
    <row r="97" spans="1:10" s="12" customFormat="1" x14ac:dyDescent="0.25">
      <c r="A97" s="6">
        <v>0</v>
      </c>
      <c r="B97" s="13">
        <f>D97</f>
        <v>188</v>
      </c>
      <c r="C97" s="13"/>
      <c r="D97" s="26">
        <v>188</v>
      </c>
      <c r="E97" s="26"/>
      <c r="F97" s="41"/>
      <c r="G97" s="47"/>
      <c r="H97" s="46" t="s">
        <v>112</v>
      </c>
      <c r="I97" s="69">
        <v>450</v>
      </c>
      <c r="J97" s="61">
        <v>9599.1</v>
      </c>
    </row>
    <row r="98" spans="1:10" s="12" customFormat="1" x14ac:dyDescent="0.25">
      <c r="A98" s="6">
        <v>0</v>
      </c>
      <c r="C98" s="12">
        <f>D98</f>
        <v>83</v>
      </c>
      <c r="D98" s="26">
        <f>F98</f>
        <v>83</v>
      </c>
      <c r="E98" s="25"/>
      <c r="F98" s="42">
        <v>83</v>
      </c>
      <c r="G98" s="44" t="s">
        <v>38</v>
      </c>
      <c r="H98" s="53"/>
      <c r="I98" s="81">
        <f t="shared" ref="I98:J98" si="30">I99+I100</f>
        <v>2157</v>
      </c>
      <c r="J98" s="32">
        <f t="shared" si="30"/>
        <v>43461.4</v>
      </c>
    </row>
    <row r="99" spans="1:10" s="12" customFormat="1" x14ac:dyDescent="0.25">
      <c r="A99" s="6">
        <v>0</v>
      </c>
      <c r="C99" s="12">
        <f>D99</f>
        <v>83</v>
      </c>
      <c r="D99" s="56">
        <f t="shared" ref="D99" si="31">D98</f>
        <v>83</v>
      </c>
      <c r="E99" s="25"/>
      <c r="F99" s="41"/>
      <c r="G99" s="47"/>
      <c r="H99" s="46" t="s">
        <v>8</v>
      </c>
      <c r="I99" s="69">
        <v>1215</v>
      </c>
      <c r="J99" s="61">
        <v>27665.5</v>
      </c>
    </row>
    <row r="100" spans="1:10" s="12" customFormat="1" x14ac:dyDescent="0.25">
      <c r="A100" s="6">
        <v>0</v>
      </c>
      <c r="B100" s="13">
        <f>D100</f>
        <v>87</v>
      </c>
      <c r="C100" s="13"/>
      <c r="D100" s="26">
        <v>87</v>
      </c>
      <c r="E100" s="26"/>
      <c r="F100" s="41"/>
      <c r="G100" s="47"/>
      <c r="H100" s="46" t="s">
        <v>7</v>
      </c>
      <c r="I100" s="69">
        <v>942</v>
      </c>
      <c r="J100" s="61">
        <v>15795.9</v>
      </c>
    </row>
    <row r="101" spans="1:10" s="12" customFormat="1" x14ac:dyDescent="0.25">
      <c r="A101" s="6">
        <v>0</v>
      </c>
      <c r="D101" s="26">
        <f>F101</f>
        <v>188</v>
      </c>
      <c r="E101" s="25"/>
      <c r="F101" s="42">
        <v>188</v>
      </c>
      <c r="G101" s="44" t="s">
        <v>39</v>
      </c>
      <c r="H101" s="53"/>
      <c r="I101" s="80">
        <f t="shared" ref="I101:J101" si="32">I102+I103+I104</f>
        <v>12825</v>
      </c>
      <c r="J101" s="79">
        <f t="shared" si="32"/>
        <v>1532934.3</v>
      </c>
    </row>
    <row r="102" spans="1:10" s="12" customFormat="1" x14ac:dyDescent="0.25">
      <c r="A102" s="6">
        <v>0</v>
      </c>
      <c r="D102" s="25">
        <f t="shared" ref="D102:D104" si="33">D101</f>
        <v>188</v>
      </c>
      <c r="E102" s="25"/>
      <c r="F102" s="41"/>
      <c r="G102" s="47"/>
      <c r="H102" s="46" t="s">
        <v>12</v>
      </c>
      <c r="I102" s="69">
        <v>10948</v>
      </c>
      <c r="J102" s="61">
        <f>1405843.6+11824.4</f>
        <v>1417668</v>
      </c>
    </row>
    <row r="103" spans="1:10" s="12" customFormat="1" x14ac:dyDescent="0.25">
      <c r="A103" s="6">
        <v>0</v>
      </c>
      <c r="C103" s="12">
        <f>D103</f>
        <v>188</v>
      </c>
      <c r="D103" s="25">
        <f t="shared" si="33"/>
        <v>188</v>
      </c>
      <c r="E103" s="25"/>
      <c r="F103" s="41"/>
      <c r="G103" s="47"/>
      <c r="H103" s="46" t="s">
        <v>118</v>
      </c>
      <c r="I103" s="69">
        <v>1280</v>
      </c>
      <c r="J103" s="61">
        <v>89940</v>
      </c>
    </row>
    <row r="104" spans="1:10" s="12" customFormat="1" x14ac:dyDescent="0.25">
      <c r="A104" s="6">
        <v>0</v>
      </c>
      <c r="D104" s="25">
        <f t="shared" si="33"/>
        <v>188</v>
      </c>
      <c r="E104" s="25"/>
      <c r="F104" s="41"/>
      <c r="G104" s="47"/>
      <c r="H104" s="46" t="s">
        <v>4</v>
      </c>
      <c r="I104" s="69">
        <v>597</v>
      </c>
      <c r="J104" s="61">
        <f>37150.7-11824.4</f>
        <v>25326.299999999996</v>
      </c>
    </row>
    <row r="105" spans="1:10" s="12" customFormat="1" x14ac:dyDescent="0.25">
      <c r="A105" s="6">
        <v>0</v>
      </c>
      <c r="D105" s="26">
        <f>F105</f>
        <v>87</v>
      </c>
      <c r="E105" s="25"/>
      <c r="F105" s="42">
        <v>87</v>
      </c>
      <c r="G105" s="44" t="s">
        <v>88</v>
      </c>
      <c r="H105" s="53"/>
      <c r="I105" s="80">
        <f t="shared" ref="I105:J105" si="34">I106+I107+I108+I109+I110</f>
        <v>1482</v>
      </c>
      <c r="J105" s="79">
        <f t="shared" si="34"/>
        <v>29758</v>
      </c>
    </row>
    <row r="106" spans="1:10" s="12" customFormat="1" ht="47.25" x14ac:dyDescent="0.25">
      <c r="A106" s="6">
        <v>0</v>
      </c>
      <c r="B106" s="13">
        <f>D106</f>
        <v>59</v>
      </c>
      <c r="C106" s="13"/>
      <c r="D106" s="26">
        <v>59</v>
      </c>
      <c r="E106" s="26"/>
      <c r="F106" s="41"/>
      <c r="G106" s="47"/>
      <c r="H106" s="46" t="s">
        <v>71</v>
      </c>
      <c r="I106" s="69">
        <v>65</v>
      </c>
      <c r="J106" s="61">
        <v>817.9</v>
      </c>
    </row>
    <row r="107" spans="1:10" s="12" customFormat="1" ht="31.5" x14ac:dyDescent="0.25">
      <c r="A107" s="6">
        <v>0</v>
      </c>
      <c r="D107" s="25">
        <f t="shared" ref="D107:D110" si="35">D106</f>
        <v>59</v>
      </c>
      <c r="E107" s="25"/>
      <c r="F107" s="41"/>
      <c r="G107" s="47"/>
      <c r="H107" s="46" t="s">
        <v>72</v>
      </c>
      <c r="I107" s="69">
        <v>50</v>
      </c>
      <c r="J107" s="61">
        <v>336</v>
      </c>
    </row>
    <row r="108" spans="1:10" s="12" customFormat="1" x14ac:dyDescent="0.25">
      <c r="A108" s="6">
        <v>0</v>
      </c>
      <c r="D108" s="25">
        <f t="shared" si="35"/>
        <v>59</v>
      </c>
      <c r="E108" s="25"/>
      <c r="F108" s="41"/>
      <c r="G108" s="47"/>
      <c r="H108" s="46" t="s">
        <v>12</v>
      </c>
      <c r="I108" s="69">
        <v>30</v>
      </c>
      <c r="J108" s="61">
        <f>212.2+1825.5</f>
        <v>2037.7</v>
      </c>
    </row>
    <row r="109" spans="1:10" s="12" customFormat="1" x14ac:dyDescent="0.25">
      <c r="A109" s="6">
        <v>0</v>
      </c>
      <c r="C109" s="12">
        <f>D109</f>
        <v>59</v>
      </c>
      <c r="D109" s="25">
        <f t="shared" si="35"/>
        <v>59</v>
      </c>
      <c r="E109" s="25"/>
      <c r="F109" s="41"/>
      <c r="G109" s="47"/>
      <c r="H109" s="46" t="s">
        <v>6</v>
      </c>
      <c r="I109" s="69">
        <v>160</v>
      </c>
      <c r="J109" s="61">
        <v>2383.4</v>
      </c>
    </row>
    <row r="110" spans="1:10" s="12" customFormat="1" x14ac:dyDescent="0.25">
      <c r="A110" s="6">
        <v>0</v>
      </c>
      <c r="D110" s="25">
        <f t="shared" si="35"/>
        <v>59</v>
      </c>
      <c r="E110" s="25"/>
      <c r="F110" s="41"/>
      <c r="G110" s="47"/>
      <c r="H110" s="46" t="s">
        <v>7</v>
      </c>
      <c r="I110" s="69">
        <v>1177</v>
      </c>
      <c r="J110" s="61">
        <f>26008.5-1825.5</f>
        <v>24183</v>
      </c>
    </row>
    <row r="111" spans="1:10" s="12" customFormat="1" x14ac:dyDescent="0.25">
      <c r="A111" s="6">
        <v>0</v>
      </c>
      <c r="D111" s="26">
        <f>F111</f>
        <v>59</v>
      </c>
      <c r="E111" s="25"/>
      <c r="F111" s="42">
        <v>59</v>
      </c>
      <c r="G111" s="60" t="s">
        <v>64</v>
      </c>
      <c r="H111" s="53"/>
      <c r="I111" s="80">
        <f t="shared" ref="I111:J111" si="36">I112+I113+I114+I115+I116+I117+I118+I119+I120</f>
        <v>2681</v>
      </c>
      <c r="J111" s="79">
        <f t="shared" si="36"/>
        <v>91137.9</v>
      </c>
    </row>
    <row r="112" spans="1:10" s="12" customFormat="1" ht="47.25" x14ac:dyDescent="0.25">
      <c r="A112" s="6">
        <v>0</v>
      </c>
      <c r="D112" s="25"/>
      <c r="E112" s="25"/>
      <c r="F112" s="41"/>
      <c r="G112" s="47"/>
      <c r="H112" s="46" t="s">
        <v>71</v>
      </c>
      <c r="I112" s="69">
        <v>34</v>
      </c>
      <c r="J112" s="61">
        <v>549.6</v>
      </c>
    </row>
    <row r="113" spans="1:10" s="12" customFormat="1" ht="31.5" x14ac:dyDescent="0.25">
      <c r="A113" s="6">
        <v>0</v>
      </c>
      <c r="D113" s="25">
        <f>D111</f>
        <v>59</v>
      </c>
      <c r="E113" s="25"/>
      <c r="F113" s="41"/>
      <c r="G113" s="47"/>
      <c r="H113" s="46" t="s">
        <v>72</v>
      </c>
      <c r="I113" s="69">
        <v>130</v>
      </c>
      <c r="J113" s="61">
        <v>895</v>
      </c>
    </row>
    <row r="114" spans="1:10" s="12" customFormat="1" x14ac:dyDescent="0.25">
      <c r="A114" s="6">
        <v>0</v>
      </c>
      <c r="B114" s="13">
        <f>D114</f>
        <v>63</v>
      </c>
      <c r="C114" s="13"/>
      <c r="D114" s="26">
        <v>63</v>
      </c>
      <c r="E114" s="26"/>
      <c r="F114" s="41"/>
      <c r="G114" s="47"/>
      <c r="H114" s="46" t="s">
        <v>12</v>
      </c>
      <c r="I114" s="69">
        <v>39</v>
      </c>
      <c r="J114" s="61">
        <f>282.6+73.3</f>
        <v>355.90000000000003</v>
      </c>
    </row>
    <row r="115" spans="1:10" s="12" customFormat="1" x14ac:dyDescent="0.25">
      <c r="A115" s="6">
        <v>0</v>
      </c>
      <c r="D115" s="25">
        <f t="shared" ref="D115:D117" si="37">D114</f>
        <v>63</v>
      </c>
      <c r="E115" s="25"/>
      <c r="F115" s="41"/>
      <c r="G115" s="47"/>
      <c r="H115" s="46" t="s">
        <v>116</v>
      </c>
      <c r="I115" s="69">
        <v>239</v>
      </c>
      <c r="J115" s="61">
        <f>39029.1-6601.9</f>
        <v>32427.199999999997</v>
      </c>
    </row>
    <row r="116" spans="1:10" s="12" customFormat="1" x14ac:dyDescent="0.25">
      <c r="A116" s="6">
        <v>0</v>
      </c>
      <c r="D116" s="25">
        <f t="shared" si="37"/>
        <v>63</v>
      </c>
      <c r="E116" s="25"/>
      <c r="F116" s="41"/>
      <c r="G116" s="47"/>
      <c r="H116" s="46" t="s">
        <v>117</v>
      </c>
      <c r="I116" s="69">
        <v>36</v>
      </c>
      <c r="J116" s="61">
        <v>5817.5</v>
      </c>
    </row>
    <row r="117" spans="1:10" s="12" customFormat="1" x14ac:dyDescent="0.25">
      <c r="A117" s="6">
        <v>0</v>
      </c>
      <c r="D117" s="25">
        <f t="shared" si="37"/>
        <v>63</v>
      </c>
      <c r="E117" s="25"/>
      <c r="F117" s="41"/>
      <c r="G117" s="47"/>
      <c r="H117" s="46" t="s">
        <v>7</v>
      </c>
      <c r="I117" s="69">
        <v>1091</v>
      </c>
      <c r="J117" s="61">
        <f>21833.4+6528.6</f>
        <v>28362</v>
      </c>
    </row>
    <row r="118" spans="1:10" s="12" customFormat="1" x14ac:dyDescent="0.25">
      <c r="A118" s="6">
        <v>0</v>
      </c>
      <c r="B118" s="13">
        <f>D118</f>
        <v>65</v>
      </c>
      <c r="C118" s="13"/>
      <c r="D118" s="26">
        <v>65</v>
      </c>
      <c r="E118" s="26"/>
      <c r="F118" s="41"/>
      <c r="G118" s="47"/>
      <c r="H118" s="46" t="s">
        <v>6</v>
      </c>
      <c r="I118" s="69">
        <v>193</v>
      </c>
      <c r="J118" s="61">
        <v>4158.5</v>
      </c>
    </row>
    <row r="119" spans="1:10" s="12" customFormat="1" x14ac:dyDescent="0.25">
      <c r="A119" s="6">
        <v>0</v>
      </c>
      <c r="D119" s="25">
        <f t="shared" ref="D119:D122" si="38">D118</f>
        <v>65</v>
      </c>
      <c r="E119" s="25"/>
      <c r="F119" s="41"/>
      <c r="G119" s="47"/>
      <c r="H119" s="46" t="s">
        <v>8</v>
      </c>
      <c r="I119" s="69">
        <v>661</v>
      </c>
      <c r="J119" s="61">
        <v>13388.2</v>
      </c>
    </row>
    <row r="120" spans="1:10" s="12" customFormat="1" x14ac:dyDescent="0.25">
      <c r="A120" s="6">
        <v>0</v>
      </c>
      <c r="D120" s="25">
        <f t="shared" si="38"/>
        <v>65</v>
      </c>
      <c r="E120" s="25"/>
      <c r="F120" s="41"/>
      <c r="G120" s="47"/>
      <c r="H120" s="46" t="s">
        <v>4</v>
      </c>
      <c r="I120" s="69">
        <v>258</v>
      </c>
      <c r="J120" s="61">
        <v>5184</v>
      </c>
    </row>
    <row r="121" spans="1:10" s="12" customFormat="1" x14ac:dyDescent="0.25">
      <c r="A121" s="6">
        <v>0</v>
      </c>
      <c r="D121" s="26">
        <f>F121</f>
        <v>63</v>
      </c>
      <c r="E121" s="25"/>
      <c r="F121" s="42">
        <v>63</v>
      </c>
      <c r="G121" s="44" t="s">
        <v>89</v>
      </c>
      <c r="H121" s="53"/>
      <c r="I121" s="80">
        <f>I122</f>
        <v>597</v>
      </c>
      <c r="J121" s="79">
        <f>J122</f>
        <v>15549</v>
      </c>
    </row>
    <row r="122" spans="1:10" s="12" customFormat="1" x14ac:dyDescent="0.25">
      <c r="A122" s="6">
        <v>0</v>
      </c>
      <c r="D122" s="25">
        <f t="shared" si="38"/>
        <v>63</v>
      </c>
      <c r="E122" s="25"/>
      <c r="F122" s="41"/>
      <c r="G122" s="47"/>
      <c r="H122" s="46" t="s">
        <v>7</v>
      </c>
      <c r="I122" s="69">
        <v>597</v>
      </c>
      <c r="J122" s="61">
        <v>15549</v>
      </c>
    </row>
    <row r="123" spans="1:10" s="12" customFormat="1" x14ac:dyDescent="0.25">
      <c r="A123" s="6">
        <v>0</v>
      </c>
      <c r="B123" s="13"/>
      <c r="C123" s="13"/>
      <c r="D123" s="26">
        <f>F123</f>
        <v>65</v>
      </c>
      <c r="E123" s="26"/>
      <c r="F123" s="42">
        <v>65</v>
      </c>
      <c r="G123" s="44" t="s">
        <v>90</v>
      </c>
      <c r="H123" s="53"/>
      <c r="I123" s="80">
        <f>SUM(I124:I126)</f>
        <v>892</v>
      </c>
      <c r="J123" s="79">
        <f>SUM(J124:J126)</f>
        <v>23824.1</v>
      </c>
    </row>
    <row r="124" spans="1:10" s="12" customFormat="1" ht="31.5" x14ac:dyDescent="0.25">
      <c r="A124" s="6">
        <v>0</v>
      </c>
      <c r="D124" s="25" t="e">
        <f>#REF!</f>
        <v>#REF!</v>
      </c>
      <c r="E124" s="25"/>
      <c r="F124" s="41"/>
      <c r="G124" s="47"/>
      <c r="H124" s="46" t="s">
        <v>72</v>
      </c>
      <c r="I124" s="69">
        <v>44</v>
      </c>
      <c r="J124" s="61">
        <v>435.9</v>
      </c>
    </row>
    <row r="125" spans="1:10" s="12" customFormat="1" x14ac:dyDescent="0.25">
      <c r="A125" s="6">
        <v>0</v>
      </c>
      <c r="D125" s="25" t="e">
        <f>#REF!</f>
        <v>#REF!</v>
      </c>
      <c r="E125" s="25"/>
      <c r="F125" s="41"/>
      <c r="G125" s="47"/>
      <c r="H125" s="46" t="s">
        <v>7</v>
      </c>
      <c r="I125" s="69">
        <v>832</v>
      </c>
      <c r="J125" s="61">
        <v>23077.1</v>
      </c>
    </row>
    <row r="126" spans="1:10" s="12" customFormat="1" x14ac:dyDescent="0.25">
      <c r="A126" s="6">
        <v>0</v>
      </c>
      <c r="D126" s="25" t="e">
        <f>#REF!</f>
        <v>#REF!</v>
      </c>
      <c r="E126" s="25"/>
      <c r="F126" s="41"/>
      <c r="G126" s="47"/>
      <c r="H126" s="46" t="s">
        <v>6</v>
      </c>
      <c r="I126" s="69">
        <v>16</v>
      </c>
      <c r="J126" s="61">
        <v>311.10000000000002</v>
      </c>
    </row>
    <row r="127" spans="1:10" s="12" customFormat="1" x14ac:dyDescent="0.25">
      <c r="A127" s="6">
        <v>0</v>
      </c>
      <c r="B127" s="13"/>
      <c r="C127" s="13"/>
      <c r="D127" s="26">
        <f>F127</f>
        <v>67</v>
      </c>
      <c r="E127" s="26"/>
      <c r="F127" s="42">
        <v>67</v>
      </c>
      <c r="G127" s="44" t="s">
        <v>91</v>
      </c>
      <c r="H127" s="53"/>
      <c r="I127" s="80">
        <f>SUM(I128:I130)</f>
        <v>629</v>
      </c>
      <c r="J127" s="79">
        <f>SUM(J128:J130)</f>
        <v>12373.1</v>
      </c>
    </row>
    <row r="128" spans="1:10" s="12" customFormat="1" ht="31.5" x14ac:dyDescent="0.25">
      <c r="A128" s="6">
        <v>0</v>
      </c>
      <c r="B128" s="13">
        <f>D128</f>
        <v>75</v>
      </c>
      <c r="C128" s="13"/>
      <c r="D128" s="26">
        <v>75</v>
      </c>
      <c r="E128" s="26"/>
      <c r="F128" s="41"/>
      <c r="G128" s="47"/>
      <c r="H128" s="46" t="s">
        <v>72</v>
      </c>
      <c r="I128" s="69">
        <v>8</v>
      </c>
      <c r="J128" s="61">
        <v>55.8</v>
      </c>
    </row>
    <row r="129" spans="1:10" s="12" customFormat="1" x14ac:dyDescent="0.25">
      <c r="A129" s="6">
        <v>0</v>
      </c>
      <c r="D129" s="25">
        <f t="shared" ref="D129:D133" si="39">D128</f>
        <v>75</v>
      </c>
      <c r="E129" s="25"/>
      <c r="F129" s="41"/>
      <c r="G129" s="47"/>
      <c r="H129" s="46" t="s">
        <v>7</v>
      </c>
      <c r="I129" s="69">
        <f>601-56-2</f>
        <v>543</v>
      </c>
      <c r="J129" s="61">
        <f>11851.1-1104.5-133+88.1</f>
        <v>10701.7</v>
      </c>
    </row>
    <row r="130" spans="1:10" s="12" customFormat="1" x14ac:dyDescent="0.25">
      <c r="A130" s="6">
        <v>0</v>
      </c>
      <c r="D130" s="25">
        <f t="shared" si="39"/>
        <v>75</v>
      </c>
      <c r="E130" s="25"/>
      <c r="F130" s="41"/>
      <c r="G130" s="47"/>
      <c r="H130" s="46" t="s">
        <v>4</v>
      </c>
      <c r="I130" s="69">
        <v>78</v>
      </c>
      <c r="J130" s="61">
        <v>1615.6</v>
      </c>
    </row>
    <row r="131" spans="1:10" s="12" customFormat="1" x14ac:dyDescent="0.25">
      <c r="A131" s="6">
        <v>0</v>
      </c>
      <c r="D131" s="26">
        <f>F131</f>
        <v>69</v>
      </c>
      <c r="E131" s="25"/>
      <c r="F131" s="42">
        <v>69</v>
      </c>
      <c r="G131" s="44" t="s">
        <v>27</v>
      </c>
      <c r="H131" s="53"/>
      <c r="I131" s="80">
        <f t="shared" ref="I131:J131" si="40">I132+I133</f>
        <v>1445</v>
      </c>
      <c r="J131" s="79">
        <f t="shared" si="40"/>
        <v>41728.400000000001</v>
      </c>
    </row>
    <row r="132" spans="1:10" s="12" customFormat="1" x14ac:dyDescent="0.25">
      <c r="A132" s="6">
        <v>0</v>
      </c>
      <c r="D132" s="25">
        <f t="shared" si="39"/>
        <v>69</v>
      </c>
      <c r="E132" s="25"/>
      <c r="F132" s="41"/>
      <c r="G132" s="47"/>
      <c r="H132" s="46" t="s">
        <v>7</v>
      </c>
      <c r="I132" s="69">
        <v>1400</v>
      </c>
      <c r="J132" s="61">
        <v>41311.9</v>
      </c>
    </row>
    <row r="133" spans="1:10" s="12" customFormat="1" ht="31.5" x14ac:dyDescent="0.25">
      <c r="A133" s="6">
        <v>0</v>
      </c>
      <c r="D133" s="25">
        <f t="shared" si="39"/>
        <v>69</v>
      </c>
      <c r="E133" s="25"/>
      <c r="F133" s="41"/>
      <c r="G133" s="47"/>
      <c r="H133" s="46" t="s">
        <v>72</v>
      </c>
      <c r="I133" s="69">
        <v>45</v>
      </c>
      <c r="J133" s="61">
        <v>416.5</v>
      </c>
    </row>
    <row r="134" spans="1:10" s="12" customFormat="1" x14ac:dyDescent="0.25">
      <c r="A134" s="6">
        <v>0</v>
      </c>
      <c r="D134" s="26">
        <f>F134</f>
        <v>232</v>
      </c>
      <c r="E134" s="25"/>
      <c r="F134" s="42">
        <v>232</v>
      </c>
      <c r="G134" s="44" t="s">
        <v>92</v>
      </c>
      <c r="H134" s="53"/>
      <c r="I134" s="80">
        <f t="shared" ref="I134:J134" si="41">I135</f>
        <v>1005</v>
      </c>
      <c r="J134" s="79">
        <f t="shared" si="41"/>
        <v>18740.8</v>
      </c>
    </row>
    <row r="135" spans="1:10" s="12" customFormat="1" x14ac:dyDescent="0.25">
      <c r="A135" s="6">
        <v>0</v>
      </c>
      <c r="D135" s="25">
        <f>D134</f>
        <v>232</v>
      </c>
      <c r="E135" s="25"/>
      <c r="F135" s="41"/>
      <c r="G135" s="47"/>
      <c r="H135" s="46" t="s">
        <v>7</v>
      </c>
      <c r="I135" s="69">
        <v>1005</v>
      </c>
      <c r="J135" s="61">
        <v>18740.8</v>
      </c>
    </row>
    <row r="136" spans="1:10" s="12" customFormat="1" x14ac:dyDescent="0.25">
      <c r="A136" s="6">
        <v>0</v>
      </c>
      <c r="D136" s="26">
        <f>F136</f>
        <v>75</v>
      </c>
      <c r="E136" s="25"/>
      <c r="F136" s="42">
        <v>75</v>
      </c>
      <c r="G136" s="44" t="s">
        <v>93</v>
      </c>
      <c r="H136" s="53"/>
      <c r="I136" s="80">
        <f t="shared" ref="I136:J136" si="42">I137+I138+I139+I140+I141+I142+I143+I144</f>
        <v>1025</v>
      </c>
      <c r="J136" s="79">
        <f t="shared" si="42"/>
        <v>24884.300000000003</v>
      </c>
    </row>
    <row r="137" spans="1:10" s="12" customFormat="1" ht="47.25" x14ac:dyDescent="0.25">
      <c r="A137" s="6">
        <v>0</v>
      </c>
      <c r="B137" s="13">
        <f>D137</f>
        <v>140</v>
      </c>
      <c r="C137" s="13"/>
      <c r="D137" s="26">
        <v>140</v>
      </c>
      <c r="E137" s="26"/>
      <c r="F137" s="41"/>
      <c r="G137" s="47"/>
      <c r="H137" s="46" t="s">
        <v>71</v>
      </c>
      <c r="I137" s="69">
        <v>89</v>
      </c>
      <c r="J137" s="61">
        <v>1519.7</v>
      </c>
    </row>
    <row r="138" spans="1:10" s="12" customFormat="1" ht="31.5" x14ac:dyDescent="0.25">
      <c r="A138" s="6">
        <v>0</v>
      </c>
      <c r="D138" s="25">
        <f t="shared" ref="D138:D139" si="43">D137</f>
        <v>140</v>
      </c>
      <c r="E138" s="25"/>
      <c r="F138" s="41"/>
      <c r="G138" s="47"/>
      <c r="H138" s="46" t="s">
        <v>72</v>
      </c>
      <c r="I138" s="69">
        <v>19</v>
      </c>
      <c r="J138" s="61">
        <v>169</v>
      </c>
    </row>
    <row r="139" spans="1:10" s="12" customFormat="1" x14ac:dyDescent="0.25">
      <c r="A139" s="6">
        <v>0</v>
      </c>
      <c r="D139" s="25">
        <f t="shared" si="43"/>
        <v>140</v>
      </c>
      <c r="E139" s="25"/>
      <c r="F139" s="41"/>
      <c r="G139" s="47"/>
      <c r="H139" s="46" t="s">
        <v>8</v>
      </c>
      <c r="I139" s="69">
        <v>127</v>
      </c>
      <c r="J139" s="61">
        <v>3187.4</v>
      </c>
    </row>
    <row r="140" spans="1:10" s="12" customFormat="1" x14ac:dyDescent="0.25">
      <c r="A140" s="6">
        <v>0</v>
      </c>
      <c r="B140" s="13">
        <f>D140</f>
        <v>203</v>
      </c>
      <c r="C140" s="13"/>
      <c r="D140" s="26">
        <v>203</v>
      </c>
      <c r="E140" s="26"/>
      <c r="F140" s="41"/>
      <c r="G140" s="47"/>
      <c r="H140" s="46" t="s">
        <v>6</v>
      </c>
      <c r="I140" s="69">
        <v>42</v>
      </c>
      <c r="J140" s="61">
        <v>958.1</v>
      </c>
    </row>
    <row r="141" spans="1:10" s="12" customFormat="1" x14ac:dyDescent="0.25">
      <c r="A141" s="6">
        <v>0</v>
      </c>
      <c r="D141" s="25">
        <f>D140</f>
        <v>203</v>
      </c>
      <c r="E141" s="25"/>
      <c r="F141" s="41"/>
      <c r="G141" s="47"/>
      <c r="H141" s="46" t="s">
        <v>7</v>
      </c>
      <c r="I141" s="69">
        <v>638</v>
      </c>
      <c r="J141" s="61">
        <v>15869.6</v>
      </c>
    </row>
    <row r="142" spans="1:10" s="12" customFormat="1" x14ac:dyDescent="0.25">
      <c r="A142" s="6">
        <v>0</v>
      </c>
      <c r="D142" s="25">
        <f t="shared" ref="D142:D143" si="44">D141</f>
        <v>203</v>
      </c>
      <c r="E142" s="25"/>
      <c r="F142" s="41"/>
      <c r="G142" s="47"/>
      <c r="H142" s="46" t="s">
        <v>4</v>
      </c>
      <c r="I142" s="69">
        <v>14</v>
      </c>
      <c r="J142" s="61">
        <v>362.3</v>
      </c>
    </row>
    <row r="143" spans="1:10" s="12" customFormat="1" x14ac:dyDescent="0.25">
      <c r="A143" s="6">
        <v>0</v>
      </c>
      <c r="D143" s="25">
        <f t="shared" si="44"/>
        <v>203</v>
      </c>
      <c r="E143" s="25"/>
      <c r="F143" s="41"/>
      <c r="G143" s="47"/>
      <c r="H143" s="46" t="s">
        <v>5</v>
      </c>
      <c r="I143" s="69">
        <v>59</v>
      </c>
      <c r="J143" s="61">
        <v>1797.7</v>
      </c>
    </row>
    <row r="144" spans="1:10" s="12" customFormat="1" x14ac:dyDescent="0.25">
      <c r="A144" s="6">
        <v>0</v>
      </c>
      <c r="B144" s="13">
        <f>D144</f>
        <v>79</v>
      </c>
      <c r="C144" s="13"/>
      <c r="D144" s="26">
        <v>79</v>
      </c>
      <c r="E144" s="26"/>
      <c r="F144" s="41"/>
      <c r="G144" s="47"/>
      <c r="H144" s="46" t="s">
        <v>10</v>
      </c>
      <c r="I144" s="69">
        <v>37</v>
      </c>
      <c r="J144" s="61">
        <v>1020.5</v>
      </c>
    </row>
    <row r="145" spans="1:10" s="12" customFormat="1" x14ac:dyDescent="0.25">
      <c r="A145" s="6">
        <v>0</v>
      </c>
      <c r="D145" s="26">
        <f>F145</f>
        <v>140</v>
      </c>
      <c r="E145" s="25"/>
      <c r="F145" s="42">
        <v>140</v>
      </c>
      <c r="G145" s="44" t="s">
        <v>94</v>
      </c>
      <c r="H145" s="53"/>
      <c r="I145" s="80">
        <f t="shared" ref="I145:J145" si="45">I146+I147</f>
        <v>1850</v>
      </c>
      <c r="J145" s="79">
        <f t="shared" si="45"/>
        <v>43146.8</v>
      </c>
    </row>
    <row r="146" spans="1:10" s="12" customFormat="1" x14ac:dyDescent="0.25">
      <c r="A146" s="6">
        <v>0</v>
      </c>
      <c r="D146" s="25">
        <f t="shared" ref="D146" si="46">D145</f>
        <v>140</v>
      </c>
      <c r="E146" s="25"/>
      <c r="F146" s="41"/>
      <c r="G146" s="47"/>
      <c r="H146" s="46" t="s">
        <v>6</v>
      </c>
      <c r="I146" s="69">
        <v>700</v>
      </c>
      <c r="J146" s="61">
        <v>18858.8</v>
      </c>
    </row>
    <row r="147" spans="1:10" s="12" customFormat="1" x14ac:dyDescent="0.25">
      <c r="A147" s="6">
        <v>0</v>
      </c>
      <c r="B147" s="13">
        <f>D147</f>
        <v>13</v>
      </c>
      <c r="C147" s="13"/>
      <c r="D147" s="26">
        <v>13</v>
      </c>
      <c r="E147" s="26"/>
      <c r="F147" s="41"/>
      <c r="G147" s="47"/>
      <c r="H147" s="46" t="s">
        <v>7</v>
      </c>
      <c r="I147" s="69">
        <v>1150</v>
      </c>
      <c r="J147" s="61">
        <v>24288</v>
      </c>
    </row>
    <row r="148" spans="1:10" s="12" customFormat="1" x14ac:dyDescent="0.25">
      <c r="A148" s="6">
        <v>0</v>
      </c>
      <c r="D148" s="26">
        <f>F148</f>
        <v>49</v>
      </c>
      <c r="E148" s="25"/>
      <c r="F148" s="42">
        <v>49</v>
      </c>
      <c r="G148" s="44" t="s">
        <v>31</v>
      </c>
      <c r="H148" s="53"/>
      <c r="I148" s="80">
        <f>I149</f>
        <v>700</v>
      </c>
      <c r="J148" s="79">
        <f>J149</f>
        <v>14167.2</v>
      </c>
    </row>
    <row r="149" spans="1:10" s="12" customFormat="1" x14ac:dyDescent="0.25">
      <c r="A149" s="6">
        <v>0</v>
      </c>
      <c r="D149" s="25">
        <f t="shared" ref="D149" si="47">D148</f>
        <v>49</v>
      </c>
      <c r="E149" s="25"/>
      <c r="F149" s="41"/>
      <c r="G149" s="47"/>
      <c r="H149" s="46" t="s">
        <v>7</v>
      </c>
      <c r="I149" s="69">
        <v>700</v>
      </c>
      <c r="J149" s="61">
        <v>14167.2</v>
      </c>
    </row>
    <row r="150" spans="1:10" s="12" customFormat="1" x14ac:dyDescent="0.25">
      <c r="A150" s="6">
        <v>0</v>
      </c>
      <c r="D150" s="26">
        <f>F150</f>
        <v>203</v>
      </c>
      <c r="E150" s="25"/>
      <c r="F150" s="42">
        <v>203</v>
      </c>
      <c r="G150" s="44" t="s">
        <v>34</v>
      </c>
      <c r="H150" s="53"/>
      <c r="I150" s="80">
        <f t="shared" ref="I150:J150" si="48">I151+I152+I153+I154</f>
        <v>625</v>
      </c>
      <c r="J150" s="79">
        <f t="shared" si="48"/>
        <v>16528.099999999999</v>
      </c>
    </row>
    <row r="151" spans="1:10" s="12" customFormat="1" ht="31.5" x14ac:dyDescent="0.25">
      <c r="A151" s="6">
        <v>0</v>
      </c>
      <c r="B151" s="13">
        <f>D151</f>
        <v>85</v>
      </c>
      <c r="C151" s="13"/>
      <c r="D151" s="26">
        <v>85</v>
      </c>
      <c r="E151" s="26"/>
      <c r="F151" s="41"/>
      <c r="G151" s="47"/>
      <c r="H151" s="46" t="s">
        <v>119</v>
      </c>
      <c r="I151" s="69">
        <v>30</v>
      </c>
      <c r="J151" s="61">
        <v>2231.2999999999997</v>
      </c>
    </row>
    <row r="152" spans="1:10" s="12" customFormat="1" x14ac:dyDescent="0.25">
      <c r="A152" s="6">
        <v>0</v>
      </c>
      <c r="D152" s="25">
        <f t="shared" ref="D152:D154" si="49">D151</f>
        <v>85</v>
      </c>
      <c r="E152" s="25"/>
      <c r="F152" s="41"/>
      <c r="G152" s="47"/>
      <c r="H152" s="46" t="s">
        <v>6</v>
      </c>
      <c r="I152" s="69">
        <v>72</v>
      </c>
      <c r="J152" s="61">
        <v>1207.5999999999999</v>
      </c>
    </row>
    <row r="153" spans="1:10" s="12" customFormat="1" x14ac:dyDescent="0.25">
      <c r="A153" s="6">
        <v>0</v>
      </c>
      <c r="D153" s="25">
        <f t="shared" si="49"/>
        <v>85</v>
      </c>
      <c r="E153" s="25"/>
      <c r="F153" s="41"/>
      <c r="G153" s="47"/>
      <c r="H153" s="46" t="s">
        <v>7</v>
      </c>
      <c r="I153" s="69">
        <v>305</v>
      </c>
      <c r="J153" s="61">
        <v>8284</v>
      </c>
    </row>
    <row r="154" spans="1:10" s="12" customFormat="1" x14ac:dyDescent="0.25">
      <c r="A154" s="6">
        <v>0</v>
      </c>
      <c r="D154" s="25">
        <f t="shared" si="49"/>
        <v>85</v>
      </c>
      <c r="E154" s="25"/>
      <c r="F154" s="41"/>
      <c r="G154" s="47"/>
      <c r="H154" s="46" t="s">
        <v>8</v>
      </c>
      <c r="I154" s="69">
        <v>218</v>
      </c>
      <c r="J154" s="61">
        <v>4805.2</v>
      </c>
    </row>
    <row r="155" spans="1:10" s="12" customFormat="1" x14ac:dyDescent="0.25">
      <c r="A155" s="6">
        <v>0</v>
      </c>
      <c r="B155" s="13"/>
      <c r="C155" s="13"/>
      <c r="D155" s="26">
        <f>F155</f>
        <v>79</v>
      </c>
      <c r="E155" s="26"/>
      <c r="F155" s="42">
        <v>79</v>
      </c>
      <c r="G155" s="44" t="s">
        <v>35</v>
      </c>
      <c r="H155" s="53"/>
      <c r="I155" s="80">
        <f>I156+I157</f>
        <v>437</v>
      </c>
      <c r="J155" s="79">
        <f>J156+J157</f>
        <v>8356.5</v>
      </c>
    </row>
    <row r="156" spans="1:10" s="12" customFormat="1" ht="31.5" x14ac:dyDescent="0.25">
      <c r="A156" s="6">
        <v>0</v>
      </c>
      <c r="B156" s="13">
        <f>D156</f>
        <v>447</v>
      </c>
      <c r="C156" s="13"/>
      <c r="D156" s="26">
        <v>447</v>
      </c>
      <c r="E156" s="26"/>
      <c r="F156" s="41"/>
      <c r="G156" s="47"/>
      <c r="H156" s="46" t="s">
        <v>72</v>
      </c>
      <c r="I156" s="69">
        <v>33</v>
      </c>
      <c r="J156" s="61">
        <v>225.4</v>
      </c>
    </row>
    <row r="157" spans="1:10" s="12" customFormat="1" x14ac:dyDescent="0.25">
      <c r="A157" s="6">
        <v>0</v>
      </c>
      <c r="D157" s="25">
        <f t="shared" ref="D157:D160" si="50">D156</f>
        <v>447</v>
      </c>
      <c r="E157" s="25"/>
      <c r="F157" s="41"/>
      <c r="G157" s="47"/>
      <c r="H157" s="46" t="s">
        <v>7</v>
      </c>
      <c r="I157" s="69">
        <v>404</v>
      </c>
      <c r="J157" s="61">
        <v>8131.1</v>
      </c>
    </row>
    <row r="158" spans="1:10" s="12" customFormat="1" x14ac:dyDescent="0.25">
      <c r="A158" s="6">
        <v>0</v>
      </c>
      <c r="D158" s="26">
        <f>F158</f>
        <v>13</v>
      </c>
      <c r="E158" s="25"/>
      <c r="F158" s="42">
        <v>13</v>
      </c>
      <c r="G158" s="44" t="s">
        <v>95</v>
      </c>
      <c r="H158" s="53"/>
      <c r="I158" s="80">
        <f t="shared" ref="I158:J158" si="51">I159+I160+I161</f>
        <v>914</v>
      </c>
      <c r="J158" s="79">
        <f t="shared" si="51"/>
        <v>18076.099999999999</v>
      </c>
    </row>
    <row r="159" spans="1:10" s="12" customFormat="1" x14ac:dyDescent="0.25">
      <c r="A159" s="6">
        <v>0</v>
      </c>
      <c r="D159" s="25">
        <f t="shared" si="50"/>
        <v>13</v>
      </c>
      <c r="E159" s="25"/>
      <c r="F159" s="41"/>
      <c r="G159" s="47"/>
      <c r="H159" s="46" t="s">
        <v>8</v>
      </c>
      <c r="I159" s="69">
        <v>285</v>
      </c>
      <c r="J159" s="61">
        <v>9617</v>
      </c>
    </row>
    <row r="160" spans="1:10" s="12" customFormat="1" x14ac:dyDescent="0.25">
      <c r="A160" s="6">
        <v>0</v>
      </c>
      <c r="D160" s="25">
        <f t="shared" si="50"/>
        <v>13</v>
      </c>
      <c r="E160" s="25"/>
      <c r="F160" s="41"/>
      <c r="G160" s="47"/>
      <c r="H160" s="46" t="s">
        <v>6</v>
      </c>
      <c r="I160" s="69">
        <f>200+139</f>
        <v>339</v>
      </c>
      <c r="J160" s="61">
        <f>2190.4+2767.7</f>
        <v>4958.1000000000004</v>
      </c>
    </row>
    <row r="161" spans="1:10" s="12" customFormat="1" x14ac:dyDescent="0.25">
      <c r="A161" s="6">
        <v>0</v>
      </c>
      <c r="B161" s="13">
        <f>D161</f>
        <v>419</v>
      </c>
      <c r="C161" s="13"/>
      <c r="D161" s="26">
        <v>419</v>
      </c>
      <c r="E161" s="26"/>
      <c r="F161" s="41"/>
      <c r="G161" s="47"/>
      <c r="H161" s="46" t="s">
        <v>7</v>
      </c>
      <c r="I161" s="69">
        <v>290</v>
      </c>
      <c r="J161" s="61">
        <v>3501</v>
      </c>
    </row>
    <row r="162" spans="1:10" s="12" customFormat="1" x14ac:dyDescent="0.25">
      <c r="A162" s="6">
        <v>0</v>
      </c>
      <c r="D162" s="26">
        <f>F162</f>
        <v>81</v>
      </c>
      <c r="E162" s="25"/>
      <c r="F162" s="42">
        <v>81</v>
      </c>
      <c r="G162" s="44" t="s">
        <v>37</v>
      </c>
      <c r="H162" s="53"/>
      <c r="I162" s="80">
        <f t="shared" ref="I162:J162" si="52">I163+I164</f>
        <v>335</v>
      </c>
      <c r="J162" s="79">
        <f t="shared" si="52"/>
        <v>10086.1</v>
      </c>
    </row>
    <row r="163" spans="1:10" s="12" customFormat="1" ht="31.5" x14ac:dyDescent="0.25">
      <c r="A163" s="6">
        <v>0</v>
      </c>
      <c r="B163" s="13">
        <f>D163</f>
        <v>420</v>
      </c>
      <c r="C163" s="13"/>
      <c r="D163" s="26">
        <v>420</v>
      </c>
      <c r="E163" s="26"/>
      <c r="F163" s="41"/>
      <c r="G163" s="47"/>
      <c r="H163" s="46" t="s">
        <v>119</v>
      </c>
      <c r="I163" s="69">
        <v>18</v>
      </c>
      <c r="J163" s="61">
        <v>1979.4</v>
      </c>
    </row>
    <row r="164" spans="1:10" s="12" customFormat="1" x14ac:dyDescent="0.25">
      <c r="A164" s="6">
        <v>0</v>
      </c>
      <c r="D164" s="25">
        <f>D163</f>
        <v>420</v>
      </c>
      <c r="E164" s="25"/>
      <c r="F164" s="41"/>
      <c r="G164" s="47"/>
      <c r="H164" s="46" t="s">
        <v>7</v>
      </c>
      <c r="I164" s="69">
        <v>317</v>
      </c>
      <c r="J164" s="61">
        <v>8106.7</v>
      </c>
    </row>
    <row r="165" spans="1:10" s="12" customFormat="1" x14ac:dyDescent="0.25">
      <c r="A165" s="6">
        <v>0</v>
      </c>
      <c r="B165" s="13"/>
      <c r="C165" s="13"/>
      <c r="D165" s="26">
        <f>F165</f>
        <v>85</v>
      </c>
      <c r="E165" s="26"/>
      <c r="F165" s="42">
        <v>85</v>
      </c>
      <c r="G165" s="44" t="s">
        <v>40</v>
      </c>
      <c r="H165" s="53"/>
      <c r="I165" s="80">
        <f t="shared" ref="I165:J165" si="53">I166+I167+I168</f>
        <v>868</v>
      </c>
      <c r="J165" s="79">
        <f t="shared" si="53"/>
        <v>24905.4</v>
      </c>
    </row>
    <row r="166" spans="1:10" s="12" customFormat="1" ht="47.25" x14ac:dyDescent="0.25">
      <c r="A166" s="6">
        <v>0</v>
      </c>
      <c r="D166" s="25">
        <f t="shared" ref="D166" si="54">D165</f>
        <v>85</v>
      </c>
      <c r="E166" s="25"/>
      <c r="F166" s="41"/>
      <c r="G166" s="47"/>
      <c r="H166" s="46" t="s">
        <v>71</v>
      </c>
      <c r="I166" s="69">
        <v>65</v>
      </c>
      <c r="J166" s="61">
        <v>5081.9000000000005</v>
      </c>
    </row>
    <row r="167" spans="1:10" s="12" customFormat="1" x14ac:dyDescent="0.25">
      <c r="A167" s="6">
        <v>0</v>
      </c>
      <c r="B167" s="13">
        <f>D167</f>
        <v>431</v>
      </c>
      <c r="C167" s="13"/>
      <c r="D167" s="26">
        <v>431</v>
      </c>
      <c r="E167" s="26"/>
      <c r="F167" s="41"/>
      <c r="G167" s="47"/>
      <c r="H167" s="46" t="s">
        <v>8</v>
      </c>
      <c r="I167" s="69">
        <v>399</v>
      </c>
      <c r="J167" s="61">
        <v>7610.3</v>
      </c>
    </row>
    <row r="168" spans="1:10" s="12" customFormat="1" x14ac:dyDescent="0.25">
      <c r="A168" s="6">
        <v>0</v>
      </c>
      <c r="D168" s="25">
        <f t="shared" ref="D168:D170" si="55">D167</f>
        <v>431</v>
      </c>
      <c r="E168" s="25"/>
      <c r="F168" s="41"/>
      <c r="G168" s="47"/>
      <c r="H168" s="46" t="s">
        <v>7</v>
      </c>
      <c r="I168" s="69">
        <v>404</v>
      </c>
      <c r="J168" s="61">
        <v>12213.2</v>
      </c>
    </row>
    <row r="169" spans="1:10" s="12" customFormat="1" x14ac:dyDescent="0.25">
      <c r="A169" s="6">
        <v>0</v>
      </c>
      <c r="D169" s="26">
        <f>F169</f>
        <v>26</v>
      </c>
      <c r="E169" s="25"/>
      <c r="F169" s="42">
        <v>26</v>
      </c>
      <c r="G169" s="44" t="s">
        <v>96</v>
      </c>
      <c r="H169" s="53"/>
      <c r="I169" s="80">
        <f t="shared" ref="I169:J169" si="56">I170</f>
        <v>294</v>
      </c>
      <c r="J169" s="79">
        <f t="shared" si="56"/>
        <v>8567.7999999999993</v>
      </c>
    </row>
    <row r="170" spans="1:10" s="12" customFormat="1" x14ac:dyDescent="0.25">
      <c r="A170" s="6">
        <v>0</v>
      </c>
      <c r="D170" s="25">
        <f t="shared" si="55"/>
        <v>26</v>
      </c>
      <c r="E170" s="25"/>
      <c r="F170" s="41"/>
      <c r="G170" s="47"/>
      <c r="H170" s="46" t="s">
        <v>17</v>
      </c>
      <c r="I170" s="69">
        <f>263+31</f>
        <v>294</v>
      </c>
      <c r="J170" s="61">
        <f>7567.8+1000</f>
        <v>8567.7999999999993</v>
      </c>
    </row>
    <row r="171" spans="1:10" s="12" customFormat="1" x14ac:dyDescent="0.25">
      <c r="A171" s="6">
        <v>0</v>
      </c>
      <c r="D171" s="26">
        <f>F171</f>
        <v>465</v>
      </c>
      <c r="E171" s="25"/>
      <c r="F171" s="42">
        <v>465</v>
      </c>
      <c r="G171" s="44" t="s">
        <v>104</v>
      </c>
      <c r="H171" s="53"/>
      <c r="I171" s="80">
        <f t="shared" ref="I171:J171" si="57">I172</f>
        <v>380</v>
      </c>
      <c r="J171" s="79">
        <f t="shared" si="57"/>
        <v>33488.1</v>
      </c>
    </row>
    <row r="172" spans="1:10" s="12" customFormat="1" x14ac:dyDescent="0.25">
      <c r="A172" s="6">
        <v>0</v>
      </c>
      <c r="B172" s="13">
        <f>D172</f>
        <v>425</v>
      </c>
      <c r="C172" s="13"/>
      <c r="D172" s="26">
        <v>425</v>
      </c>
      <c r="E172" s="26"/>
      <c r="F172" s="43"/>
      <c r="G172" s="49"/>
      <c r="H172" s="46" t="s">
        <v>12</v>
      </c>
      <c r="I172" s="69">
        <v>380</v>
      </c>
      <c r="J172" s="61">
        <v>33488.1</v>
      </c>
    </row>
    <row r="173" spans="1:10" s="12" customFormat="1" x14ac:dyDescent="0.25">
      <c r="A173" s="6">
        <v>0</v>
      </c>
      <c r="C173" s="12">
        <f>D173</f>
        <v>466</v>
      </c>
      <c r="D173" s="26">
        <f>F173</f>
        <v>466</v>
      </c>
      <c r="E173" s="25"/>
      <c r="F173" s="42">
        <v>466</v>
      </c>
      <c r="G173" s="44" t="s">
        <v>25</v>
      </c>
      <c r="H173" s="53"/>
      <c r="I173" s="80">
        <f t="shared" ref="I173:J173" si="58">I174</f>
        <v>340</v>
      </c>
      <c r="J173" s="79">
        <f t="shared" si="58"/>
        <v>13077.8</v>
      </c>
    </row>
    <row r="174" spans="1:10" s="12" customFormat="1" x14ac:dyDescent="0.25">
      <c r="A174" s="6">
        <v>0</v>
      </c>
      <c r="B174" s="13">
        <f>D174</f>
        <v>406</v>
      </c>
      <c r="C174" s="13"/>
      <c r="D174" s="26">
        <v>406</v>
      </c>
      <c r="E174" s="26"/>
      <c r="F174" s="41"/>
      <c r="G174" s="47"/>
      <c r="H174" s="46" t="s">
        <v>11</v>
      </c>
      <c r="I174" s="69">
        <v>340</v>
      </c>
      <c r="J174" s="61">
        <v>13077.8</v>
      </c>
    </row>
    <row r="175" spans="1:10" s="12" customFormat="1" x14ac:dyDescent="0.25">
      <c r="A175" s="6">
        <v>0</v>
      </c>
      <c r="B175" s="13"/>
      <c r="C175" s="13"/>
      <c r="D175" s="26">
        <f>F175</f>
        <v>354</v>
      </c>
      <c r="E175" s="26"/>
      <c r="F175" s="42">
        <v>354</v>
      </c>
      <c r="G175" s="44" t="s">
        <v>105</v>
      </c>
      <c r="H175" s="53"/>
      <c r="I175" s="80">
        <f>I176+I177+I179+I180+I181+I178</f>
        <v>1729</v>
      </c>
      <c r="J175" s="79">
        <f>J176+J177+J179+J180+J181+J178</f>
        <v>36010.6</v>
      </c>
    </row>
    <row r="176" spans="1:10" s="12" customFormat="1" ht="47.25" x14ac:dyDescent="0.25">
      <c r="A176" s="6">
        <v>0</v>
      </c>
      <c r="D176" s="25">
        <f>D175</f>
        <v>354</v>
      </c>
      <c r="E176" s="25"/>
      <c r="F176" s="42"/>
      <c r="G176" s="50"/>
      <c r="H176" s="46" t="s">
        <v>71</v>
      </c>
      <c r="I176" s="69">
        <v>250</v>
      </c>
      <c r="J176" s="61">
        <v>3637.8</v>
      </c>
    </row>
    <row r="177" spans="1:29" s="12" customFormat="1" ht="31.5" x14ac:dyDescent="0.25">
      <c r="A177" s="6">
        <v>0</v>
      </c>
      <c r="D177" s="25">
        <f t="shared" ref="D177" si="59">D176</f>
        <v>354</v>
      </c>
      <c r="E177" s="25"/>
      <c r="F177" s="42"/>
      <c r="G177" s="50"/>
      <c r="H177" s="46" t="s">
        <v>72</v>
      </c>
      <c r="I177" s="69">
        <v>37</v>
      </c>
      <c r="J177" s="61">
        <v>252.9</v>
      </c>
    </row>
    <row r="178" spans="1:29" s="12" customFormat="1" x14ac:dyDescent="0.25">
      <c r="A178" s="6"/>
      <c r="D178" s="25"/>
      <c r="E178" s="25"/>
      <c r="F178" s="42"/>
      <c r="G178" s="50"/>
      <c r="H178" s="46" t="s">
        <v>12</v>
      </c>
      <c r="I178" s="69">
        <v>50</v>
      </c>
      <c r="J178" s="61">
        <f>2538+264</f>
        <v>2802</v>
      </c>
    </row>
    <row r="179" spans="1:29" s="12" customFormat="1" x14ac:dyDescent="0.25">
      <c r="A179" s="6">
        <v>0</v>
      </c>
      <c r="B179" s="13">
        <f>D179</f>
        <v>450</v>
      </c>
      <c r="C179" s="13"/>
      <c r="D179" s="26">
        <v>450</v>
      </c>
      <c r="E179" s="26"/>
      <c r="F179" s="42"/>
      <c r="G179" s="50"/>
      <c r="H179" s="46" t="s">
        <v>17</v>
      </c>
      <c r="I179" s="69">
        <v>390</v>
      </c>
      <c r="J179" s="61">
        <v>8679.1</v>
      </c>
    </row>
    <row r="180" spans="1:29" s="12" customFormat="1" x14ac:dyDescent="0.25">
      <c r="A180" s="6">
        <v>0</v>
      </c>
      <c r="D180" s="25" t="e">
        <f>#REF!</f>
        <v>#REF!</v>
      </c>
      <c r="E180" s="25"/>
      <c r="F180" s="42"/>
      <c r="G180" s="50"/>
      <c r="H180" s="46" t="s">
        <v>7</v>
      </c>
      <c r="I180" s="69">
        <v>612</v>
      </c>
      <c r="J180" s="61">
        <v>12711.6</v>
      </c>
    </row>
    <row r="181" spans="1:29" s="14" customFormat="1" x14ac:dyDescent="0.25">
      <c r="A181" s="6">
        <v>0</v>
      </c>
      <c r="B181" s="12"/>
      <c r="C181" s="12"/>
      <c r="D181" s="25" t="e">
        <f t="shared" ref="D181" si="60">D180</f>
        <v>#REF!</v>
      </c>
      <c r="E181" s="25"/>
      <c r="F181" s="42"/>
      <c r="G181" s="50"/>
      <c r="H181" s="46" t="s">
        <v>4</v>
      </c>
      <c r="I181" s="69">
        <v>390</v>
      </c>
      <c r="J181" s="61">
        <v>7927.2</v>
      </c>
    </row>
    <row r="182" spans="1:29" s="7" customFormat="1" x14ac:dyDescent="0.25">
      <c r="A182" s="6">
        <v>0</v>
      </c>
      <c r="B182" s="12"/>
      <c r="C182" s="12"/>
      <c r="D182" s="26">
        <f>F182</f>
        <v>463</v>
      </c>
      <c r="E182" s="25"/>
      <c r="F182" s="42">
        <v>463</v>
      </c>
      <c r="G182" s="44" t="s">
        <v>113</v>
      </c>
      <c r="H182" s="53"/>
      <c r="I182" s="80">
        <f>I183</f>
        <v>350</v>
      </c>
      <c r="J182" s="79">
        <f>J183</f>
        <v>13284.5</v>
      </c>
    </row>
    <row r="183" spans="1:29" x14ac:dyDescent="0.25">
      <c r="A183" s="6">
        <v>0</v>
      </c>
      <c r="B183" s="12"/>
      <c r="C183" s="12"/>
      <c r="D183" s="25" t="e">
        <f>#REF!</f>
        <v>#REF!</v>
      </c>
      <c r="E183" s="25"/>
      <c r="F183" s="42"/>
      <c r="G183" s="50"/>
      <c r="H183" s="51" t="s">
        <v>110</v>
      </c>
      <c r="I183" s="69">
        <v>350</v>
      </c>
      <c r="J183" s="61">
        <v>13284.5</v>
      </c>
      <c r="O183" s="6"/>
      <c r="Y183" s="6"/>
      <c r="Z183" s="6"/>
      <c r="AA183" s="6"/>
      <c r="AB183" s="6"/>
      <c r="AC183" s="6"/>
    </row>
    <row r="184" spans="1:29" x14ac:dyDescent="0.25">
      <c r="A184" s="6">
        <v>0</v>
      </c>
      <c r="B184" s="13"/>
      <c r="C184" s="13"/>
      <c r="D184" s="26">
        <f>F184</f>
        <v>431</v>
      </c>
      <c r="E184" s="26"/>
      <c r="F184" s="42">
        <v>431</v>
      </c>
      <c r="G184" s="44" t="s">
        <v>97</v>
      </c>
      <c r="H184" s="53"/>
      <c r="I184" s="80">
        <f>I185</f>
        <v>58</v>
      </c>
      <c r="J184" s="79">
        <f>J185</f>
        <v>2776.9</v>
      </c>
      <c r="O184" s="6"/>
      <c r="Y184" s="6"/>
      <c r="Z184" s="6"/>
      <c r="AA184" s="6"/>
      <c r="AB184" s="6"/>
      <c r="AC184" s="6"/>
    </row>
    <row r="185" spans="1:29" ht="31.5" x14ac:dyDescent="0.25">
      <c r="A185" s="6">
        <v>0</v>
      </c>
      <c r="B185" s="13">
        <f>D185</f>
        <v>173</v>
      </c>
      <c r="C185" s="13"/>
      <c r="D185" s="26">
        <v>173</v>
      </c>
      <c r="E185" s="26"/>
      <c r="F185" s="41"/>
      <c r="G185" s="47"/>
      <c r="H185" s="85" t="s">
        <v>70</v>
      </c>
      <c r="I185" s="70">
        <v>58</v>
      </c>
      <c r="J185" s="68">
        <v>2776.9</v>
      </c>
      <c r="O185" s="6"/>
      <c r="Y185" s="6"/>
      <c r="Z185" s="6"/>
      <c r="AA185" s="6"/>
      <c r="AB185" s="6"/>
      <c r="AC185" s="6"/>
    </row>
    <row r="186" spans="1:29" x14ac:dyDescent="0.25">
      <c r="A186" s="6">
        <v>0</v>
      </c>
      <c r="B186" s="13"/>
      <c r="C186" s="13"/>
      <c r="D186" s="26">
        <f>F186</f>
        <v>425</v>
      </c>
      <c r="E186" s="26"/>
      <c r="F186" s="42">
        <v>425</v>
      </c>
      <c r="G186" s="87" t="s">
        <v>98</v>
      </c>
      <c r="H186" s="88"/>
      <c r="I186" s="84">
        <f t="shared" ref="I186:J186" si="61">I187</f>
        <v>44</v>
      </c>
      <c r="J186" s="79">
        <f t="shared" si="61"/>
        <v>9931.2999999999993</v>
      </c>
      <c r="O186" s="6"/>
      <c r="Y186" s="6"/>
      <c r="Z186" s="6"/>
      <c r="AA186" s="6"/>
      <c r="AB186" s="6"/>
      <c r="AC186" s="6"/>
    </row>
    <row r="187" spans="1:29" x14ac:dyDescent="0.25">
      <c r="A187" s="6">
        <v>0</v>
      </c>
      <c r="B187" s="12"/>
      <c r="C187" s="12"/>
      <c r="D187" s="25">
        <f t="shared" ref="D187" si="62">D186</f>
        <v>425</v>
      </c>
      <c r="E187" s="25"/>
      <c r="F187" s="41"/>
      <c r="G187" s="89"/>
      <c r="H187" s="46" t="s">
        <v>12</v>
      </c>
      <c r="I187" s="86">
        <f>47-3</f>
        <v>44</v>
      </c>
      <c r="J187" s="61">
        <f>9276.5+654.8</f>
        <v>9931.2999999999993</v>
      </c>
      <c r="O187" s="6"/>
      <c r="Y187" s="6"/>
      <c r="Z187" s="6"/>
      <c r="AA187" s="6"/>
      <c r="AB187" s="6"/>
      <c r="AC187" s="6"/>
    </row>
    <row r="188" spans="1:29" x14ac:dyDescent="0.25">
      <c r="A188" s="6">
        <v>0</v>
      </c>
      <c r="B188" s="12"/>
      <c r="C188" s="12"/>
      <c r="D188" s="26">
        <f>F188</f>
        <v>387</v>
      </c>
      <c r="E188" s="25"/>
      <c r="F188" s="42">
        <v>387</v>
      </c>
      <c r="G188" s="44" t="s">
        <v>24</v>
      </c>
      <c r="H188" s="53"/>
      <c r="I188" s="80">
        <f>I189</f>
        <v>764</v>
      </c>
      <c r="J188" s="79">
        <f>J189</f>
        <v>34995.1</v>
      </c>
      <c r="O188" s="6"/>
      <c r="Y188" s="6"/>
      <c r="Z188" s="6"/>
      <c r="AA188" s="6"/>
      <c r="AB188" s="6"/>
      <c r="AC188" s="6"/>
    </row>
    <row r="189" spans="1:29" ht="31.5" customHeight="1" x14ac:dyDescent="0.25">
      <c r="A189" s="6">
        <v>0</v>
      </c>
      <c r="B189" s="12"/>
      <c r="C189" s="12"/>
      <c r="D189" s="25" t="e">
        <f>#REF!</f>
        <v>#REF!</v>
      </c>
      <c r="E189" s="25"/>
      <c r="F189" s="41"/>
      <c r="G189" s="47"/>
      <c r="H189" s="46" t="s">
        <v>15</v>
      </c>
      <c r="I189" s="69">
        <v>764</v>
      </c>
      <c r="J189" s="61">
        <v>34995.1</v>
      </c>
      <c r="O189" s="6"/>
      <c r="Y189" s="6"/>
      <c r="Z189" s="6"/>
      <c r="AA189" s="6"/>
      <c r="AB189" s="6"/>
      <c r="AC189" s="6"/>
    </row>
    <row r="190" spans="1:29" x14ac:dyDescent="0.25">
      <c r="A190" s="6"/>
      <c r="B190" s="12"/>
      <c r="C190" s="12"/>
      <c r="D190" s="26">
        <f>F190</f>
        <v>450</v>
      </c>
      <c r="E190" s="25"/>
      <c r="F190" s="42">
        <v>450</v>
      </c>
      <c r="G190" s="44" t="s">
        <v>99</v>
      </c>
      <c r="H190" s="53"/>
      <c r="I190" s="80">
        <f>I191</f>
        <v>87</v>
      </c>
      <c r="J190" s="79">
        <f>J191</f>
        <v>4128.5</v>
      </c>
      <c r="O190" s="6"/>
      <c r="Y190" s="6"/>
      <c r="Z190" s="6"/>
      <c r="AA190" s="6"/>
      <c r="AB190" s="6"/>
      <c r="AC190" s="6"/>
    </row>
    <row r="191" spans="1:29" ht="31.5" customHeight="1" x14ac:dyDescent="0.25">
      <c r="A191" s="6"/>
      <c r="B191" s="12"/>
      <c r="C191" s="12"/>
      <c r="D191" s="25"/>
      <c r="E191" s="25"/>
      <c r="F191" s="41"/>
      <c r="G191" s="47"/>
      <c r="H191" s="85" t="s">
        <v>70</v>
      </c>
      <c r="I191" s="69">
        <v>87</v>
      </c>
      <c r="J191" s="61">
        <v>4128.5</v>
      </c>
      <c r="O191" s="6"/>
      <c r="Y191" s="6"/>
      <c r="Z191" s="6"/>
      <c r="AA191" s="6"/>
      <c r="AB191" s="6"/>
      <c r="AC191" s="6"/>
    </row>
    <row r="192" spans="1:29" ht="31.5" customHeight="1" x14ac:dyDescent="0.25">
      <c r="A192" s="6"/>
      <c r="B192" s="12"/>
      <c r="C192" s="12"/>
      <c r="D192" s="26">
        <f>F192</f>
        <v>294</v>
      </c>
      <c r="E192" s="25"/>
      <c r="F192" s="42">
        <v>294</v>
      </c>
      <c r="G192" s="44" t="s">
        <v>100</v>
      </c>
      <c r="H192" s="53"/>
      <c r="I192" s="80">
        <f t="shared" ref="I192:J192" si="63">I193</f>
        <v>32</v>
      </c>
      <c r="J192" s="79">
        <f t="shared" si="63"/>
        <v>791.9</v>
      </c>
      <c r="O192" s="6"/>
      <c r="Y192" s="6"/>
      <c r="Z192" s="6"/>
      <c r="AA192" s="6"/>
      <c r="AB192" s="6"/>
      <c r="AC192" s="6"/>
    </row>
    <row r="193" spans="1:29" ht="18" customHeight="1" x14ac:dyDescent="0.25">
      <c r="A193" s="6"/>
      <c r="B193" s="12"/>
      <c r="C193" s="12"/>
      <c r="D193" s="25"/>
      <c r="E193" s="25"/>
      <c r="F193" s="41"/>
      <c r="G193" s="47"/>
      <c r="H193" s="46" t="s">
        <v>7</v>
      </c>
      <c r="I193" s="69">
        <f>17+15</f>
        <v>32</v>
      </c>
      <c r="J193" s="61">
        <f>420.7+371.2</f>
        <v>791.9</v>
      </c>
      <c r="O193" s="6"/>
      <c r="Y193" s="6"/>
      <c r="Z193" s="6"/>
      <c r="AA193" s="6"/>
      <c r="AB193" s="6"/>
      <c r="AC193" s="6"/>
    </row>
    <row r="194" spans="1:29" ht="22.5" customHeight="1" x14ac:dyDescent="0.25">
      <c r="A194" s="6"/>
      <c r="B194" s="12"/>
      <c r="C194" s="12"/>
      <c r="D194" s="26">
        <f>F194</f>
        <v>355</v>
      </c>
      <c r="E194" s="25"/>
      <c r="F194" s="42">
        <v>355</v>
      </c>
      <c r="G194" s="44" t="s">
        <v>101</v>
      </c>
      <c r="H194" s="53"/>
      <c r="I194" s="80">
        <f>I195</f>
        <v>67</v>
      </c>
      <c r="J194" s="79">
        <f>J195</f>
        <v>2962.5</v>
      </c>
      <c r="O194" s="6"/>
      <c r="Y194" s="6"/>
      <c r="Z194" s="6"/>
      <c r="AA194" s="6"/>
      <c r="AB194" s="6"/>
      <c r="AC194" s="6"/>
    </row>
    <row r="195" spans="1:29" ht="31.5" customHeight="1" x14ac:dyDescent="0.25">
      <c r="A195" s="6"/>
      <c r="B195" s="12"/>
      <c r="C195" s="12"/>
      <c r="D195" s="25"/>
      <c r="E195" s="25"/>
      <c r="F195" s="41"/>
      <c r="G195" s="47"/>
      <c r="H195" s="85" t="s">
        <v>70</v>
      </c>
      <c r="I195" s="69">
        <v>67</v>
      </c>
      <c r="J195" s="61">
        <v>2962.5</v>
      </c>
      <c r="O195" s="6"/>
      <c r="Y195" s="6"/>
      <c r="Z195" s="6"/>
      <c r="AA195" s="6"/>
      <c r="AB195" s="6"/>
      <c r="AC195" s="6"/>
    </row>
    <row r="196" spans="1:29" ht="21" customHeight="1" x14ac:dyDescent="0.25">
      <c r="A196" s="6"/>
      <c r="B196" s="12"/>
      <c r="C196" s="12"/>
      <c r="D196" s="26">
        <f>F196</f>
        <v>205</v>
      </c>
      <c r="E196" s="25"/>
      <c r="F196" s="42">
        <v>205</v>
      </c>
      <c r="G196" s="50" t="s">
        <v>102</v>
      </c>
      <c r="H196" s="53"/>
      <c r="I196" s="80">
        <f>I197</f>
        <v>1069</v>
      </c>
      <c r="J196" s="79">
        <f>J197</f>
        <v>23371.8</v>
      </c>
      <c r="O196" s="6"/>
      <c r="Y196" s="6"/>
      <c r="Z196" s="6"/>
      <c r="AA196" s="6"/>
      <c r="AB196" s="6"/>
      <c r="AC196" s="6"/>
    </row>
    <row r="197" spans="1:29" ht="21" customHeight="1" x14ac:dyDescent="0.25">
      <c r="A197" s="6">
        <v>0</v>
      </c>
      <c r="B197" s="13">
        <v>1000</v>
      </c>
      <c r="C197" s="13"/>
      <c r="D197" s="26"/>
      <c r="E197" s="26"/>
      <c r="F197" s="42"/>
      <c r="G197" s="47"/>
      <c r="H197" s="46" t="s">
        <v>77</v>
      </c>
      <c r="I197" s="70">
        <v>1069</v>
      </c>
      <c r="J197" s="68">
        <v>23371.8</v>
      </c>
      <c r="O197" s="6"/>
      <c r="Y197" s="6"/>
      <c r="Z197" s="6"/>
      <c r="AA197" s="6"/>
      <c r="AB197" s="6"/>
      <c r="AC197" s="6"/>
    </row>
    <row r="198" spans="1:29" ht="18.75" customHeight="1" x14ac:dyDescent="0.25">
      <c r="A198" s="6">
        <v>0</v>
      </c>
      <c r="B198" s="14"/>
      <c r="C198" s="14"/>
      <c r="D198" s="26">
        <f>F198</f>
        <v>260</v>
      </c>
      <c r="E198" s="57"/>
      <c r="F198" s="42">
        <v>260</v>
      </c>
      <c r="G198" s="44" t="s">
        <v>103</v>
      </c>
      <c r="H198" s="53"/>
      <c r="I198" s="80">
        <f t="shared" ref="I198" si="64">I199</f>
        <v>60</v>
      </c>
      <c r="J198" s="79">
        <f>J199</f>
        <v>1236.5</v>
      </c>
      <c r="O198" s="6"/>
      <c r="Y198" s="6"/>
      <c r="Z198" s="6"/>
      <c r="AA198" s="6"/>
      <c r="AB198" s="6"/>
      <c r="AC198" s="6"/>
    </row>
    <row r="199" spans="1:29" s="7" customFormat="1" x14ac:dyDescent="0.25">
      <c r="A199" s="6">
        <v>0</v>
      </c>
      <c r="B199" s="18"/>
      <c r="C199" s="18"/>
      <c r="D199" s="58"/>
      <c r="E199" s="58"/>
      <c r="F199" s="42"/>
      <c r="G199" s="47"/>
      <c r="H199" s="46" t="s">
        <v>4</v>
      </c>
      <c r="I199" s="21">
        <f>50+10</f>
        <v>60</v>
      </c>
      <c r="J199" s="68">
        <v>1236.5</v>
      </c>
    </row>
    <row r="200" spans="1:29" s="20" customFormat="1" ht="15.75" customHeight="1" x14ac:dyDescent="0.25">
      <c r="A200" s="6">
        <v>0</v>
      </c>
      <c r="B200" s="2"/>
      <c r="C200" s="2"/>
      <c r="D200" s="26">
        <f>F200</f>
        <v>414</v>
      </c>
      <c r="E200" s="59"/>
      <c r="F200" s="42">
        <v>414</v>
      </c>
      <c r="G200" s="44" t="s">
        <v>106</v>
      </c>
      <c r="H200" s="53"/>
      <c r="I200" s="80">
        <f>I201</f>
        <v>150</v>
      </c>
      <c r="J200" s="79">
        <f>J201</f>
        <v>2725.1</v>
      </c>
    </row>
    <row r="201" spans="1:29" s="20" customFormat="1" x14ac:dyDescent="0.25">
      <c r="A201" s="6">
        <v>0</v>
      </c>
      <c r="B201" s="2"/>
      <c r="C201" s="2"/>
      <c r="D201" s="33"/>
      <c r="E201" s="59"/>
      <c r="F201" s="42"/>
      <c r="G201" s="47"/>
      <c r="H201" s="46" t="s">
        <v>13</v>
      </c>
      <c r="I201" s="71">
        <v>150</v>
      </c>
      <c r="J201" s="71">
        <v>2725.1</v>
      </c>
    </row>
    <row r="202" spans="1:29" s="20" customFormat="1" ht="31.5" customHeight="1" x14ac:dyDescent="0.25">
      <c r="A202" s="6">
        <v>0</v>
      </c>
      <c r="B202" s="2"/>
      <c r="C202" s="2"/>
      <c r="D202" s="26">
        <f>F202</f>
        <v>429</v>
      </c>
      <c r="E202" s="59"/>
      <c r="F202" s="42">
        <v>429</v>
      </c>
      <c r="G202" s="62" t="s">
        <v>107</v>
      </c>
      <c r="H202" s="53"/>
      <c r="I202" s="80">
        <f t="shared" ref="I202:J202" si="65">I203</f>
        <v>5</v>
      </c>
      <c r="J202" s="79">
        <f t="shared" si="65"/>
        <v>66.5</v>
      </c>
    </row>
    <row r="203" spans="1:29" s="20" customFormat="1" ht="15.75" customHeight="1" x14ac:dyDescent="0.25">
      <c r="A203" s="6">
        <v>0</v>
      </c>
      <c r="B203" s="2"/>
      <c r="C203" s="2"/>
      <c r="D203" s="33"/>
      <c r="E203" s="59"/>
      <c r="F203" s="42"/>
      <c r="G203" s="63"/>
      <c r="H203" s="46" t="s">
        <v>120</v>
      </c>
      <c r="I203" s="71">
        <v>5</v>
      </c>
      <c r="J203" s="71">
        <v>66.5</v>
      </c>
    </row>
    <row r="204" spans="1:29" x14ac:dyDescent="0.25">
      <c r="F204" s="66"/>
      <c r="G204" s="64"/>
      <c r="H204" s="34" t="s">
        <v>19</v>
      </c>
      <c r="I204" s="80">
        <f>I10+I12+I16+I22+I24+I27+I29+I31+I40+I47+I53+I56+I58+I61+I64+I67+I69+I72+I75+I81+I93+I98+I101+I105+I111+I121+I123+I127+I131+I134+I136+I145++I148+I150+I155+I158+I162+I165+I169+I171+I173+I175+I182+I184+I186+I188+I190+I192+I194+I196+I198+I200+I202</f>
        <v>67152</v>
      </c>
      <c r="J204" s="79">
        <f>J10+J12+J16+J22+J24+J27+J29+J31+J40+J47+J53+J56+J58+J61+J64+J67+J69+J72+J75+J81+J93+J98+J101+J105+J111+J121+J123+J127+J131+J134+J136+J145++J148+J150+J155+J158+J162+J165+J169+J171+J173+J175+J182+J184+J186+J188+J190+J192+J194+J196+J198+J200+J202</f>
        <v>2915388.8999999994</v>
      </c>
      <c r="O204" s="6"/>
      <c r="Y204" s="6"/>
      <c r="Z204" s="6"/>
      <c r="AA204" s="6"/>
      <c r="AB204" s="6"/>
      <c r="AC204" s="6"/>
    </row>
    <row r="205" spans="1:29" ht="32.25" customHeight="1" x14ac:dyDescent="0.25">
      <c r="F205" s="66"/>
      <c r="G205" s="64"/>
      <c r="H205" s="35" t="s">
        <v>20</v>
      </c>
      <c r="I205" s="78">
        <f>I206-I204</f>
        <v>3531</v>
      </c>
      <c r="J205" s="16"/>
      <c r="O205" s="6"/>
      <c r="Y205" s="6"/>
      <c r="Z205" s="6"/>
      <c r="AA205" s="6"/>
      <c r="AB205" s="6"/>
      <c r="AC205" s="6"/>
    </row>
    <row r="206" spans="1:29" ht="21.75" customHeight="1" x14ac:dyDescent="0.25">
      <c r="F206" s="67"/>
      <c r="G206" s="65"/>
      <c r="H206" s="35" t="s">
        <v>21</v>
      </c>
      <c r="I206" s="78">
        <f>67954+2729</f>
        <v>70683</v>
      </c>
      <c r="J206" s="16"/>
      <c r="O206" s="6"/>
      <c r="Y206" s="6"/>
      <c r="Z206" s="6"/>
      <c r="AA206" s="6"/>
      <c r="AB206" s="6"/>
      <c r="AC206" s="6"/>
    </row>
    <row r="209" spans="6:31" ht="25.5" customHeight="1" x14ac:dyDescent="0.25">
      <c r="F209" s="92" t="s">
        <v>115</v>
      </c>
      <c r="G209" s="92"/>
      <c r="H209" s="92"/>
      <c r="I209" s="92"/>
      <c r="J209" s="92"/>
      <c r="K209" s="92"/>
      <c r="L209" s="92"/>
      <c r="M209" s="92"/>
      <c r="N209" s="92"/>
      <c r="O209" s="92"/>
      <c r="Y209" s="109"/>
      <c r="Z209" s="109"/>
      <c r="AA209" s="109"/>
      <c r="AB209" s="109"/>
      <c r="AC209" s="109"/>
      <c r="AD209" s="109"/>
      <c r="AE209" s="109"/>
    </row>
    <row r="210" spans="6:31" x14ac:dyDescent="0.25">
      <c r="F210" s="17"/>
      <c r="G210" s="17"/>
      <c r="H210" s="72"/>
      <c r="K210" s="73"/>
      <c r="L210" s="7"/>
      <c r="M210" s="7"/>
      <c r="N210" s="7"/>
      <c r="Y210" s="58"/>
      <c r="Z210" s="58"/>
      <c r="AA210" s="72"/>
      <c r="AB210" s="110"/>
      <c r="AC210" s="111"/>
      <c r="AD210" s="109"/>
      <c r="AE210" s="109"/>
    </row>
    <row r="211" spans="6:31" ht="15.75" customHeight="1" x14ac:dyDescent="0.25">
      <c r="F211" s="99" t="s">
        <v>22</v>
      </c>
      <c r="G211" s="102" t="s">
        <v>44</v>
      </c>
      <c r="H211" s="103"/>
      <c r="I211" s="93" t="s">
        <v>3</v>
      </c>
      <c r="J211" s="93"/>
      <c r="K211" s="93"/>
      <c r="L211" s="93"/>
      <c r="M211" s="93"/>
      <c r="N211" s="93"/>
      <c r="O211" s="93"/>
      <c r="Y211" s="112"/>
      <c r="Z211" s="112"/>
      <c r="AA211" s="112"/>
      <c r="AB211" s="109"/>
      <c r="AC211" s="109"/>
      <c r="AD211" s="109"/>
      <c r="AE211" s="109"/>
    </row>
    <row r="212" spans="6:31" x14ac:dyDescent="0.25">
      <c r="F212" s="100"/>
      <c r="G212" s="104"/>
      <c r="H212" s="105"/>
      <c r="I212" s="77">
        <v>188</v>
      </c>
      <c r="J212" s="77">
        <v>425</v>
      </c>
      <c r="K212" s="77">
        <v>465</v>
      </c>
      <c r="L212" s="77">
        <v>115</v>
      </c>
      <c r="M212" s="77">
        <v>59</v>
      </c>
      <c r="N212" s="77">
        <v>87</v>
      </c>
      <c r="O212" s="42">
        <v>354</v>
      </c>
      <c r="Y212" s="112"/>
      <c r="Z212" s="112"/>
      <c r="AA212" s="112"/>
      <c r="AB212" s="113"/>
      <c r="AC212" s="113"/>
      <c r="AD212" s="109"/>
      <c r="AE212" s="109"/>
    </row>
    <row r="213" spans="6:31" ht="57" x14ac:dyDescent="0.25">
      <c r="F213" s="101"/>
      <c r="G213" s="106"/>
      <c r="H213" s="107"/>
      <c r="I213" s="38" t="s">
        <v>16</v>
      </c>
      <c r="J213" s="38" t="s">
        <v>23</v>
      </c>
      <c r="K213" s="38" t="s">
        <v>122</v>
      </c>
      <c r="L213" s="38" t="s">
        <v>14</v>
      </c>
      <c r="M213" s="38" t="s">
        <v>64</v>
      </c>
      <c r="N213" s="38" t="s">
        <v>88</v>
      </c>
      <c r="O213" s="90" t="s">
        <v>105</v>
      </c>
      <c r="Y213" s="112"/>
      <c r="Z213" s="112"/>
      <c r="AA213" s="112"/>
      <c r="AB213" s="114"/>
      <c r="AC213" s="114"/>
      <c r="AD213" s="109"/>
      <c r="AE213" s="109"/>
    </row>
    <row r="214" spans="6:31" x14ac:dyDescent="0.25">
      <c r="F214" s="74"/>
      <c r="G214" s="94" t="s">
        <v>45</v>
      </c>
      <c r="H214" s="95"/>
      <c r="I214" s="82">
        <f>I102+I103</f>
        <v>12228</v>
      </c>
      <c r="J214" s="82">
        <f>I187</f>
        <v>44</v>
      </c>
      <c r="K214" s="82">
        <f>I172</f>
        <v>380</v>
      </c>
      <c r="L214" s="83">
        <f>I86</f>
        <v>64</v>
      </c>
      <c r="M214" s="83">
        <f>I114</f>
        <v>39</v>
      </c>
      <c r="N214" s="83">
        <f>I108</f>
        <v>30</v>
      </c>
      <c r="O214" s="91">
        <f>I178</f>
        <v>50</v>
      </c>
      <c r="Y214" s="115"/>
      <c r="Z214" s="116"/>
      <c r="AA214" s="116"/>
      <c r="AB214" s="117"/>
      <c r="AC214" s="117"/>
      <c r="AD214" s="109"/>
      <c r="AE214" s="109"/>
    </row>
    <row r="215" spans="6:31" ht="25.5" customHeight="1" x14ac:dyDescent="0.25">
      <c r="F215" s="74"/>
      <c r="G215" s="96" t="s">
        <v>46</v>
      </c>
      <c r="H215" s="97"/>
      <c r="I215" s="75">
        <f>SUM(I216:I237)</f>
        <v>10733</v>
      </c>
      <c r="J215" s="75">
        <f t="shared" ref="J215:K215" si="66">SUM(J216:J237)</f>
        <v>44</v>
      </c>
      <c r="K215" s="75">
        <f t="shared" si="66"/>
        <v>350</v>
      </c>
      <c r="L215" s="75">
        <f t="shared" ref="L215:O215" si="67">SUM(L216:L237)</f>
        <v>64</v>
      </c>
      <c r="M215" s="75">
        <f t="shared" si="67"/>
        <v>39</v>
      </c>
      <c r="N215" s="75">
        <f t="shared" si="67"/>
        <v>30</v>
      </c>
      <c r="O215" s="75">
        <f t="shared" si="67"/>
        <v>50</v>
      </c>
      <c r="Y215" s="115"/>
      <c r="Z215" s="112"/>
      <c r="AA215" s="112"/>
      <c r="AB215" s="118"/>
      <c r="AC215" s="118"/>
      <c r="AD215" s="109"/>
      <c r="AE215" s="109"/>
    </row>
    <row r="216" spans="6:31" ht="30" customHeight="1" x14ac:dyDescent="0.25">
      <c r="F216" s="76" t="s">
        <v>126</v>
      </c>
      <c r="G216" s="108" t="s">
        <v>47</v>
      </c>
      <c r="H216" s="108"/>
      <c r="I216" s="77">
        <v>714</v>
      </c>
      <c r="J216" s="77">
        <v>4</v>
      </c>
      <c r="K216" s="77">
        <v>12</v>
      </c>
      <c r="L216" s="77">
        <v>64</v>
      </c>
      <c r="M216" s="77">
        <v>25</v>
      </c>
      <c r="N216" s="77"/>
      <c r="O216" s="16"/>
      <c r="Y216" s="119"/>
      <c r="Z216" s="120"/>
      <c r="AA216" s="120"/>
      <c r="AB216" s="113"/>
      <c r="AC216" s="113"/>
      <c r="AD216" s="109"/>
      <c r="AE216" s="109"/>
    </row>
    <row r="217" spans="6:31" ht="30" customHeight="1" x14ac:dyDescent="0.25">
      <c r="F217" s="76" t="s">
        <v>127</v>
      </c>
      <c r="G217" s="108" t="s">
        <v>48</v>
      </c>
      <c r="H217" s="108"/>
      <c r="I217" s="77">
        <v>708</v>
      </c>
      <c r="J217" s="77"/>
      <c r="K217" s="77">
        <v>82</v>
      </c>
      <c r="L217" s="77"/>
      <c r="M217" s="77">
        <v>14</v>
      </c>
      <c r="N217" s="77"/>
      <c r="O217" s="16"/>
      <c r="Y217" s="119"/>
      <c r="Z217" s="120"/>
      <c r="AA217" s="120"/>
      <c r="AB217" s="113"/>
      <c r="AC217" s="113"/>
      <c r="AD217" s="109"/>
      <c r="AE217" s="109"/>
    </row>
    <row r="218" spans="6:31" ht="30" customHeight="1" x14ac:dyDescent="0.25">
      <c r="F218" s="76" t="s">
        <v>128</v>
      </c>
      <c r="G218" s="108" t="s">
        <v>49</v>
      </c>
      <c r="H218" s="108"/>
      <c r="I218" s="77">
        <v>772</v>
      </c>
      <c r="J218" s="77">
        <v>2</v>
      </c>
      <c r="K218" s="77">
        <v>35</v>
      </c>
      <c r="L218" s="77"/>
      <c r="M218" s="77"/>
      <c r="N218" s="77"/>
      <c r="O218" s="16"/>
      <c r="Y218" s="119"/>
      <c r="Z218" s="120"/>
      <c r="AA218" s="120"/>
      <c r="AB218" s="113"/>
      <c r="AC218" s="113"/>
      <c r="AD218" s="109"/>
      <c r="AE218" s="109"/>
    </row>
    <row r="219" spans="6:31" ht="30" customHeight="1" x14ac:dyDescent="0.25">
      <c r="F219" s="76" t="s">
        <v>129</v>
      </c>
      <c r="G219" s="108" t="s">
        <v>52</v>
      </c>
      <c r="H219" s="108"/>
      <c r="I219" s="77">
        <v>1333</v>
      </c>
      <c r="J219" s="77"/>
      <c r="K219" s="77">
        <v>55</v>
      </c>
      <c r="L219" s="77"/>
      <c r="M219" s="77"/>
      <c r="N219" s="77"/>
      <c r="O219" s="21">
        <v>21</v>
      </c>
      <c r="Y219" s="119"/>
      <c r="Z219" s="120"/>
      <c r="AA219" s="120"/>
      <c r="AB219" s="113"/>
      <c r="AC219" s="113"/>
      <c r="AD219" s="109"/>
      <c r="AE219" s="109"/>
    </row>
    <row r="220" spans="6:31" ht="30" customHeight="1" x14ac:dyDescent="0.25">
      <c r="F220" s="76" t="s">
        <v>130</v>
      </c>
      <c r="G220" s="108" t="s">
        <v>53</v>
      </c>
      <c r="H220" s="108"/>
      <c r="I220" s="77">
        <v>772</v>
      </c>
      <c r="J220" s="77">
        <f>6-1</f>
        <v>5</v>
      </c>
      <c r="K220" s="77">
        <v>10</v>
      </c>
      <c r="L220" s="77"/>
      <c r="M220" s="77"/>
      <c r="N220" s="77"/>
      <c r="O220" s="21"/>
      <c r="Y220" s="119"/>
      <c r="Z220" s="120"/>
      <c r="AA220" s="120"/>
      <c r="AB220" s="113"/>
      <c r="AC220" s="113"/>
      <c r="AD220" s="109"/>
      <c r="AE220" s="109"/>
    </row>
    <row r="221" spans="6:31" ht="30" customHeight="1" x14ac:dyDescent="0.25">
      <c r="F221" s="76" t="s">
        <v>131</v>
      </c>
      <c r="G221" s="108" t="s">
        <v>54</v>
      </c>
      <c r="H221" s="108"/>
      <c r="I221" s="77">
        <v>940</v>
      </c>
      <c r="J221" s="77">
        <v>3</v>
      </c>
      <c r="K221" s="77">
        <v>40</v>
      </c>
      <c r="L221" s="77"/>
      <c r="M221" s="77"/>
      <c r="N221" s="77">
        <v>30</v>
      </c>
      <c r="O221" s="21">
        <v>29</v>
      </c>
      <c r="Y221" s="119"/>
      <c r="Z221" s="120"/>
      <c r="AA221" s="120"/>
      <c r="AB221" s="113"/>
      <c r="AC221" s="113"/>
      <c r="AD221" s="109"/>
      <c r="AE221" s="109"/>
    </row>
    <row r="222" spans="6:31" ht="30" customHeight="1" x14ac:dyDescent="0.25">
      <c r="F222" s="76" t="s">
        <v>132</v>
      </c>
      <c r="G222" s="108" t="s">
        <v>55</v>
      </c>
      <c r="H222" s="108"/>
      <c r="I222" s="77">
        <v>322</v>
      </c>
      <c r="J222" s="77"/>
      <c r="K222" s="77">
        <v>13</v>
      </c>
      <c r="L222" s="77"/>
      <c r="M222" s="77"/>
      <c r="N222" s="77"/>
      <c r="O222" s="16"/>
      <c r="Y222" s="119"/>
      <c r="Z222" s="120"/>
      <c r="AA222" s="120"/>
      <c r="AB222" s="113"/>
      <c r="AC222" s="113"/>
      <c r="AD222" s="109"/>
      <c r="AE222" s="109"/>
    </row>
    <row r="223" spans="6:31" ht="30" customHeight="1" x14ac:dyDescent="0.25">
      <c r="F223" s="76" t="s">
        <v>133</v>
      </c>
      <c r="G223" s="108" t="s">
        <v>50</v>
      </c>
      <c r="H223" s="108"/>
      <c r="I223" s="77">
        <v>266</v>
      </c>
      <c r="J223" s="77">
        <v>2</v>
      </c>
      <c r="K223" s="77">
        <v>29</v>
      </c>
      <c r="L223" s="77"/>
      <c r="M223" s="77"/>
      <c r="N223" s="77"/>
      <c r="O223" s="16"/>
      <c r="Y223" s="119"/>
      <c r="Z223" s="120"/>
      <c r="AA223" s="120"/>
      <c r="AB223" s="113"/>
      <c r="AC223" s="113"/>
      <c r="AD223" s="109"/>
      <c r="AE223" s="109"/>
    </row>
    <row r="224" spans="6:31" ht="30" customHeight="1" x14ac:dyDescent="0.25">
      <c r="F224" s="76" t="s">
        <v>134</v>
      </c>
      <c r="G224" s="108" t="s">
        <v>56</v>
      </c>
      <c r="H224" s="108"/>
      <c r="I224" s="77">
        <v>469</v>
      </c>
      <c r="J224" s="77">
        <v>2</v>
      </c>
      <c r="K224" s="77">
        <v>15</v>
      </c>
      <c r="L224" s="77"/>
      <c r="M224" s="77"/>
      <c r="N224" s="77"/>
      <c r="O224" s="16"/>
      <c r="Y224" s="119"/>
      <c r="Z224" s="120"/>
      <c r="AA224" s="120"/>
      <c r="AB224" s="113"/>
      <c r="AC224" s="113"/>
      <c r="AD224" s="109"/>
      <c r="AE224" s="109"/>
    </row>
    <row r="225" spans="6:31" ht="30" customHeight="1" x14ac:dyDescent="0.25">
      <c r="F225" s="76" t="s">
        <v>135</v>
      </c>
      <c r="G225" s="108" t="s">
        <v>51</v>
      </c>
      <c r="H225" s="108"/>
      <c r="I225" s="77">
        <v>641</v>
      </c>
      <c r="J225" s="77">
        <v>3</v>
      </c>
      <c r="K225" s="77">
        <v>13</v>
      </c>
      <c r="L225" s="77"/>
      <c r="M225" s="77"/>
      <c r="N225" s="77"/>
      <c r="O225" s="16"/>
      <c r="Y225" s="119"/>
      <c r="Z225" s="120"/>
      <c r="AA225" s="120"/>
      <c r="AB225" s="113"/>
      <c r="AC225" s="113"/>
      <c r="AD225" s="109"/>
      <c r="AE225" s="109"/>
    </row>
    <row r="226" spans="6:31" ht="30" customHeight="1" x14ac:dyDescent="0.25">
      <c r="F226" s="76" t="s">
        <v>136</v>
      </c>
      <c r="G226" s="108" t="s">
        <v>58</v>
      </c>
      <c r="H226" s="108"/>
      <c r="I226" s="77">
        <v>432</v>
      </c>
      <c r="J226" s="77"/>
      <c r="K226" s="77">
        <v>6</v>
      </c>
      <c r="L226" s="77"/>
      <c r="M226" s="77"/>
      <c r="N226" s="77"/>
      <c r="O226" s="16"/>
      <c r="Y226" s="119"/>
      <c r="Z226" s="120"/>
      <c r="AA226" s="120"/>
      <c r="AB226" s="113"/>
      <c r="AC226" s="113"/>
      <c r="AD226" s="109"/>
      <c r="AE226" s="109"/>
    </row>
    <row r="227" spans="6:31" ht="30" customHeight="1" x14ac:dyDescent="0.25">
      <c r="F227" s="76" t="s">
        <v>137</v>
      </c>
      <c r="G227" s="108" t="s">
        <v>62</v>
      </c>
      <c r="H227" s="108"/>
      <c r="I227" s="77">
        <v>654</v>
      </c>
      <c r="J227" s="77">
        <v>2</v>
      </c>
      <c r="K227" s="77">
        <v>1</v>
      </c>
      <c r="L227" s="77"/>
      <c r="M227" s="77"/>
      <c r="N227" s="77"/>
      <c r="O227" s="16"/>
      <c r="Y227" s="119"/>
      <c r="Z227" s="120"/>
      <c r="AA227" s="120"/>
      <c r="AB227" s="113"/>
      <c r="AC227" s="113"/>
      <c r="AD227" s="109"/>
      <c r="AE227" s="109"/>
    </row>
    <row r="228" spans="6:31" ht="30" customHeight="1" x14ac:dyDescent="0.25">
      <c r="F228" s="76" t="s">
        <v>138</v>
      </c>
      <c r="G228" s="108" t="s">
        <v>57</v>
      </c>
      <c r="H228" s="108"/>
      <c r="I228" s="77">
        <v>619</v>
      </c>
      <c r="J228" s="77">
        <f>10-1</f>
        <v>9</v>
      </c>
      <c r="K228" s="77">
        <v>9</v>
      </c>
      <c r="L228" s="77"/>
      <c r="M228" s="77"/>
      <c r="N228" s="77"/>
      <c r="O228" s="16"/>
      <c r="Y228" s="119"/>
      <c r="Z228" s="120"/>
      <c r="AA228" s="120"/>
      <c r="AB228" s="113"/>
      <c r="AC228" s="113"/>
      <c r="AD228" s="109"/>
      <c r="AE228" s="109"/>
    </row>
    <row r="229" spans="6:31" ht="30" customHeight="1" x14ac:dyDescent="0.25">
      <c r="F229" s="76" t="s">
        <v>139</v>
      </c>
      <c r="G229" s="108" t="s">
        <v>59</v>
      </c>
      <c r="H229" s="108"/>
      <c r="I229" s="77">
        <v>364</v>
      </c>
      <c r="J229" s="77">
        <f>4-1</f>
        <v>3</v>
      </c>
      <c r="K229" s="77">
        <v>16</v>
      </c>
      <c r="L229" s="77"/>
      <c r="M229" s="77"/>
      <c r="N229" s="77"/>
      <c r="O229" s="16"/>
      <c r="Y229" s="119"/>
      <c r="Z229" s="120"/>
      <c r="AA229" s="120"/>
      <c r="AB229" s="113"/>
      <c r="AC229" s="113"/>
      <c r="AD229" s="109"/>
      <c r="AE229" s="109"/>
    </row>
    <row r="230" spans="6:31" ht="30" customHeight="1" x14ac:dyDescent="0.25">
      <c r="F230" s="76" t="s">
        <v>140</v>
      </c>
      <c r="G230" s="108" t="s">
        <v>60</v>
      </c>
      <c r="H230" s="108"/>
      <c r="I230" s="77">
        <v>400</v>
      </c>
      <c r="J230" s="77">
        <v>1</v>
      </c>
      <c r="K230" s="77">
        <v>14</v>
      </c>
      <c r="L230" s="77"/>
      <c r="M230" s="77"/>
      <c r="N230" s="77"/>
      <c r="O230" s="16"/>
      <c r="Y230" s="119"/>
      <c r="Z230" s="120"/>
      <c r="AA230" s="120"/>
      <c r="AB230" s="113"/>
      <c r="AC230" s="113"/>
      <c r="AD230" s="109"/>
      <c r="AE230" s="109"/>
    </row>
    <row r="231" spans="6:31" ht="30" customHeight="1" x14ac:dyDescent="0.25">
      <c r="F231" s="76" t="s">
        <v>141</v>
      </c>
      <c r="G231" s="108" t="s">
        <v>61</v>
      </c>
      <c r="H231" s="108"/>
      <c r="I231" s="77">
        <v>613</v>
      </c>
      <c r="J231" s="77">
        <v>3</v>
      </c>
      <c r="K231" s="77"/>
      <c r="L231" s="77"/>
      <c r="M231" s="77"/>
      <c r="N231" s="77"/>
      <c r="O231" s="16"/>
      <c r="Y231" s="119"/>
      <c r="Z231" s="120"/>
      <c r="AA231" s="120"/>
      <c r="AB231" s="113"/>
      <c r="AC231" s="113"/>
      <c r="AD231" s="109"/>
      <c r="AE231" s="109"/>
    </row>
    <row r="232" spans="6:31" ht="30" customHeight="1" x14ac:dyDescent="0.25">
      <c r="F232" s="76" t="s">
        <v>142</v>
      </c>
      <c r="G232" s="108" t="s">
        <v>63</v>
      </c>
      <c r="H232" s="108"/>
      <c r="I232" s="77">
        <v>380</v>
      </c>
      <c r="J232" s="77">
        <v>5</v>
      </c>
      <c r="K232" s="77"/>
      <c r="L232" s="77"/>
      <c r="M232" s="77"/>
      <c r="N232" s="77"/>
      <c r="O232" s="16"/>
      <c r="Y232" s="119"/>
      <c r="Z232" s="120"/>
      <c r="AA232" s="120"/>
      <c r="AB232" s="113"/>
      <c r="AC232" s="113"/>
      <c r="AD232" s="109"/>
      <c r="AE232" s="109"/>
    </row>
    <row r="233" spans="6:31" ht="30" customHeight="1" x14ac:dyDescent="0.25">
      <c r="F233" s="76" t="s">
        <v>143</v>
      </c>
      <c r="G233" s="108" t="s">
        <v>108</v>
      </c>
      <c r="H233" s="108"/>
      <c r="I233" s="77">
        <v>249</v>
      </c>
      <c r="J233" s="77"/>
      <c r="K233" s="77"/>
      <c r="L233" s="77"/>
      <c r="M233" s="77"/>
      <c r="N233" s="77"/>
      <c r="O233" s="16"/>
      <c r="Y233" s="119"/>
      <c r="Z233" s="120"/>
      <c r="AA233" s="120"/>
      <c r="AB233" s="113"/>
      <c r="AC233" s="113"/>
      <c r="AD233" s="109"/>
      <c r="AE233" s="109"/>
    </row>
    <row r="234" spans="6:31" ht="30" customHeight="1" x14ac:dyDescent="0.25">
      <c r="F234" s="76" t="s">
        <v>144</v>
      </c>
      <c r="G234" s="108" t="s">
        <v>109</v>
      </c>
      <c r="H234" s="108"/>
      <c r="I234" s="77">
        <v>25</v>
      </c>
      <c r="J234" s="77"/>
      <c r="K234" s="77"/>
      <c r="L234" s="77"/>
      <c r="M234" s="77"/>
      <c r="N234" s="77"/>
      <c r="O234" s="16"/>
      <c r="Y234" s="119"/>
      <c r="Z234" s="120"/>
      <c r="AA234" s="120"/>
      <c r="AB234" s="113"/>
      <c r="AC234" s="113"/>
      <c r="AD234" s="109"/>
      <c r="AE234" s="109"/>
    </row>
    <row r="235" spans="6:31" ht="30" customHeight="1" x14ac:dyDescent="0.25">
      <c r="F235" s="76" t="s">
        <v>145</v>
      </c>
      <c r="G235" s="108" t="s">
        <v>123</v>
      </c>
      <c r="H235" s="108"/>
      <c r="I235" s="77">
        <v>10</v>
      </c>
      <c r="J235" s="77"/>
      <c r="K235" s="77"/>
      <c r="L235" s="77"/>
      <c r="M235" s="77"/>
      <c r="N235" s="77"/>
      <c r="O235" s="16"/>
      <c r="Y235" s="119"/>
      <c r="Z235" s="120"/>
      <c r="AA235" s="120"/>
      <c r="AB235" s="113"/>
      <c r="AC235" s="113"/>
      <c r="AD235" s="109"/>
      <c r="AE235" s="109"/>
    </row>
    <row r="236" spans="6:31" ht="30" customHeight="1" x14ac:dyDescent="0.25">
      <c r="F236" s="76" t="s">
        <v>146</v>
      </c>
      <c r="G236" s="108" t="s">
        <v>124</v>
      </c>
      <c r="H236" s="108"/>
      <c r="I236" s="77">
        <v>30</v>
      </c>
      <c r="J236" s="77"/>
      <c r="K236" s="77"/>
      <c r="L236" s="77"/>
      <c r="M236" s="77"/>
      <c r="N236" s="77"/>
      <c r="O236" s="16"/>
      <c r="Y236" s="119"/>
      <c r="Z236" s="120"/>
      <c r="AA236" s="120"/>
      <c r="AB236" s="113"/>
      <c r="AC236" s="113"/>
      <c r="AD236" s="109"/>
      <c r="AE236" s="109"/>
    </row>
    <row r="237" spans="6:31" ht="30" customHeight="1" x14ac:dyDescent="0.25">
      <c r="F237" s="76" t="s">
        <v>147</v>
      </c>
      <c r="G237" s="108" t="s">
        <v>125</v>
      </c>
      <c r="H237" s="108"/>
      <c r="I237" s="77">
        <v>20</v>
      </c>
      <c r="J237" s="77"/>
      <c r="K237" s="77"/>
      <c r="L237" s="77"/>
      <c r="M237" s="77"/>
      <c r="N237" s="77"/>
      <c r="O237" s="16"/>
      <c r="Y237" s="119"/>
      <c r="Z237" s="120"/>
      <c r="AA237" s="120"/>
      <c r="AB237" s="113"/>
      <c r="AC237" s="113"/>
      <c r="AD237" s="109"/>
      <c r="AE237" s="109"/>
    </row>
    <row r="238" spans="6:31" x14ac:dyDescent="0.25">
      <c r="Y238" s="121"/>
      <c r="Z238" s="121"/>
      <c r="AB238" s="110"/>
      <c r="AC238" s="111"/>
      <c r="AD238" s="109"/>
      <c r="AE238" s="109"/>
    </row>
    <row r="239" spans="6:31" x14ac:dyDescent="0.25">
      <c r="Y239" s="121"/>
      <c r="Z239" s="121"/>
      <c r="AB239" s="110"/>
      <c r="AC239" s="111"/>
      <c r="AD239" s="109"/>
      <c r="AE239" s="109"/>
    </row>
  </sheetData>
  <autoFilter ref="A9:AC190"/>
  <mergeCells count="55">
    <mergeCell ref="Z237:AA237"/>
    <mergeCell ref="Z232:AA232"/>
    <mergeCell ref="Z233:AA233"/>
    <mergeCell ref="Z234:AA234"/>
    <mergeCell ref="Z235:AA235"/>
    <mergeCell ref="Z236:AA236"/>
    <mergeCell ref="Z227:AA227"/>
    <mergeCell ref="Z228:AA228"/>
    <mergeCell ref="Z229:AA229"/>
    <mergeCell ref="Z230:AA230"/>
    <mergeCell ref="Z231:AA231"/>
    <mergeCell ref="Z222:AA222"/>
    <mergeCell ref="Z223:AA223"/>
    <mergeCell ref="Z224:AA224"/>
    <mergeCell ref="Z225:AA225"/>
    <mergeCell ref="Z226:AA226"/>
    <mergeCell ref="Z217:AA217"/>
    <mergeCell ref="Z218:AA218"/>
    <mergeCell ref="Z219:AA219"/>
    <mergeCell ref="Z220:AA220"/>
    <mergeCell ref="Z221:AA221"/>
    <mergeCell ref="Y211:Y213"/>
    <mergeCell ref="Z211:AA213"/>
    <mergeCell ref="Z214:AA214"/>
    <mergeCell ref="Z215:AA215"/>
    <mergeCell ref="Z216:AA216"/>
    <mergeCell ref="G236:H236"/>
    <mergeCell ref="G237:H237"/>
    <mergeCell ref="G231:H231"/>
    <mergeCell ref="G232:H232"/>
    <mergeCell ref="G233:H233"/>
    <mergeCell ref="G234:H234"/>
    <mergeCell ref="G235:H235"/>
    <mergeCell ref="G216:H216"/>
    <mergeCell ref="G217:H217"/>
    <mergeCell ref="G218:H218"/>
    <mergeCell ref="G229:H229"/>
    <mergeCell ref="G230:H230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G214:H214"/>
    <mergeCell ref="G215:H215"/>
    <mergeCell ref="F7:J7"/>
    <mergeCell ref="F211:F213"/>
    <mergeCell ref="G211:H213"/>
    <mergeCell ref="F209:O209"/>
    <mergeCell ref="I211:O2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№2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2025-08-25T09:38:00Z</dcterms:modified>
</cp:coreProperties>
</file>